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\Departamentos\COGLC\COLIC\SECC\DOCUMENTOS E PROCESSOS - SEI 2025\PREGÃO\VIGILÂNCIA\"/>
    </mc:Choice>
  </mc:AlternateContent>
  <xr:revisionPtr revIDLastSave="0" documentId="13_ncr:1_{195D4B9F-96B2-44DE-9C73-CBACA30EF648}" xr6:coauthVersionLast="47" xr6:coauthVersionMax="47" xr10:uidLastSave="{00000000-0000-0000-0000-000000000000}"/>
  <bookViews>
    <workbookView xWindow="28680" yWindow="1305" windowWidth="24240" windowHeight="13020" xr2:uid="{D61DDF6B-6EE0-4D08-B19A-4259E0A5CBA4}"/>
  </bookViews>
  <sheets>
    <sheet name="Resumo" sheetId="3" r:id="rId1"/>
    <sheet name="Estimativa de Custos" sheetId="2" r:id="rId2"/>
    <sheet name="Uniformes e Materiais" sheetId="7" r:id="rId3"/>
    <sheet name="Fontes de Pesquisa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J7" i="2"/>
  <c r="L8" i="2"/>
  <c r="J8" i="2"/>
  <c r="L7" i="2"/>
  <c r="D7" i="2"/>
  <c r="AB65" i="2"/>
  <c r="AB68" i="2"/>
  <c r="AB71" i="2"/>
  <c r="AB74" i="2"/>
  <c r="AB77" i="2"/>
  <c r="AB80" i="2"/>
  <c r="AB83" i="2"/>
  <c r="AB62" i="2"/>
  <c r="G74" i="2" l="1"/>
  <c r="H74" i="2"/>
  <c r="N75" i="2"/>
  <c r="M74" i="2"/>
  <c r="L75" i="2"/>
  <c r="K75" i="2"/>
  <c r="J74" i="2"/>
  <c r="I74" i="2"/>
  <c r="Z84" i="2"/>
  <c r="Y84" i="2"/>
  <c r="Z81" i="2"/>
  <c r="Z82" i="2" s="1"/>
  <c r="Y81" i="2"/>
  <c r="Y82" i="2" s="1"/>
  <c r="Z78" i="2"/>
  <c r="Y78" i="2"/>
  <c r="Z75" i="2"/>
  <c r="Y75" i="2"/>
  <c r="Z72" i="2"/>
  <c r="Z73" i="2" s="1"/>
  <c r="Y72" i="2"/>
  <c r="Y73" i="2" s="1"/>
  <c r="Z69" i="2"/>
  <c r="Y69" i="2"/>
  <c r="Z66" i="2"/>
  <c r="Y66" i="2"/>
  <c r="Y67" i="2" s="1"/>
  <c r="Z63" i="2"/>
  <c r="Y63" i="2"/>
  <c r="Y64" i="2" s="1"/>
  <c r="AA83" i="2"/>
  <c r="AA80" i="2"/>
  <c r="AA77" i="2"/>
  <c r="AA74" i="2"/>
  <c r="AA71" i="2"/>
  <c r="AA68" i="2"/>
  <c r="AA65" i="2"/>
  <c r="AA62" i="2"/>
  <c r="Z85" i="2"/>
  <c r="Z79" i="2"/>
  <c r="Z76" i="2"/>
  <c r="Z70" i="2"/>
  <c r="Y70" i="2"/>
  <c r="X86" i="2"/>
  <c r="W86" i="2"/>
  <c r="AA86" i="2" l="1"/>
  <c r="Z86" i="2"/>
  <c r="Y86" i="2"/>
  <c r="Y87" i="2" l="1"/>
  <c r="F74" i="2" l="1"/>
  <c r="N9" i="3" l="1"/>
  <c r="N10" i="3"/>
  <c r="N11" i="3"/>
  <c r="N12" i="3"/>
  <c r="N13" i="3"/>
  <c r="N14" i="3"/>
  <c r="N15" i="3"/>
  <c r="N16" i="3"/>
  <c r="N17" i="3"/>
  <c r="D8" i="2"/>
  <c r="O44" i="7" l="1"/>
  <c r="I44" i="7"/>
  <c r="O43" i="7"/>
  <c r="I43" i="7"/>
  <c r="O42" i="7"/>
  <c r="I42" i="7"/>
  <c r="O41" i="7"/>
  <c r="I41" i="7"/>
  <c r="O40" i="7"/>
  <c r="I40" i="7"/>
  <c r="O39" i="7"/>
  <c r="I39" i="7"/>
  <c r="O38" i="7"/>
  <c r="I38" i="7"/>
  <c r="O37" i="7"/>
  <c r="I37" i="7"/>
  <c r="O57" i="7"/>
  <c r="I57" i="7"/>
  <c r="O56" i="7"/>
  <c r="I56" i="7"/>
  <c r="O55" i="7"/>
  <c r="I55" i="7"/>
  <c r="O53" i="7"/>
  <c r="I53" i="7"/>
  <c r="O52" i="7"/>
  <c r="I52" i="7"/>
  <c r="O29" i="7"/>
  <c r="I29" i="7"/>
  <c r="N22" i="7"/>
  <c r="H22" i="7"/>
  <c r="N21" i="7"/>
  <c r="H21" i="7"/>
  <c r="N20" i="7"/>
  <c r="H20" i="7"/>
  <c r="N19" i="7"/>
  <c r="H19" i="7"/>
  <c r="N18" i="7"/>
  <c r="H18" i="7"/>
  <c r="N17" i="7"/>
  <c r="H17" i="7"/>
  <c r="Q56" i="7" l="1"/>
  <c r="Q55" i="7"/>
  <c r="Q37" i="7"/>
  <c r="Q43" i="7"/>
  <c r="Q52" i="7"/>
  <c r="Q38" i="7"/>
  <c r="Q41" i="7"/>
  <c r="Q53" i="7"/>
  <c r="Q40" i="7"/>
  <c r="Q57" i="7"/>
  <c r="Q39" i="7"/>
  <c r="Q42" i="7"/>
  <c r="Q44" i="7"/>
  <c r="O19" i="7"/>
  <c r="O22" i="7"/>
  <c r="O21" i="7"/>
  <c r="O18" i="7"/>
  <c r="O17" i="7"/>
  <c r="O20" i="7"/>
  <c r="P29" i="7"/>
  <c r="P30" i="7" s="1"/>
  <c r="P31" i="7" s="1"/>
  <c r="Q45" i="7" l="1"/>
  <c r="Q46" i="7" s="1"/>
  <c r="O23" i="7"/>
  <c r="O24" i="7" s="1"/>
  <c r="Q58" i="7"/>
  <c r="Q59" i="7" s="1"/>
  <c r="H36" i="2"/>
  <c r="I36" i="2"/>
  <c r="J36" i="2"/>
  <c r="K36" i="2"/>
  <c r="L36" i="2"/>
  <c r="M36" i="2"/>
  <c r="N36" i="2"/>
  <c r="G36" i="2"/>
  <c r="H32" i="2"/>
  <c r="F75" i="2" l="1"/>
  <c r="N35" i="2"/>
  <c r="M34" i="2"/>
  <c r="I33" i="2"/>
  <c r="J33" i="2"/>
  <c r="K33" i="2"/>
  <c r="L33" i="2"/>
  <c r="N33" i="2"/>
  <c r="E157" i="5"/>
  <c r="E156" i="5"/>
  <c r="E155" i="5"/>
  <c r="E154" i="5"/>
  <c r="E153" i="5"/>
  <c r="E152" i="5"/>
  <c r="E151" i="5"/>
  <c r="E150" i="5"/>
  <c r="E149" i="5"/>
  <c r="E148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07" i="5"/>
  <c r="E106" i="5"/>
  <c r="E105" i="5"/>
  <c r="E104" i="5"/>
  <c r="E103" i="5"/>
  <c r="Q47" i="7" l="1"/>
  <c r="F77" i="2" s="1"/>
  <c r="P32" i="7"/>
  <c r="F76" i="2" s="1"/>
  <c r="Q60" i="7"/>
  <c r="F78" i="2" s="1"/>
  <c r="L17" i="3"/>
  <c r="H6" i="2"/>
  <c r="H10" i="2" s="1"/>
  <c r="I6" i="2"/>
  <c r="I10" i="2" s="1"/>
  <c r="J6" i="2"/>
  <c r="K6" i="2"/>
  <c r="K10" i="2" s="1"/>
  <c r="L6" i="2"/>
  <c r="M6" i="2"/>
  <c r="M10" i="2" s="1"/>
  <c r="N6" i="2"/>
  <c r="N10" i="2" s="1"/>
  <c r="I78" i="2" l="1"/>
  <c r="J78" i="2"/>
  <c r="I77" i="2"/>
  <c r="L77" i="2"/>
  <c r="M77" i="2"/>
  <c r="J77" i="2"/>
  <c r="K77" i="2"/>
  <c r="I54" i="2"/>
  <c r="I55" i="2"/>
  <c r="I57" i="2"/>
  <c r="I46" i="2"/>
  <c r="I58" i="2"/>
  <c r="I59" i="2"/>
  <c r="N55" i="2"/>
  <c r="N54" i="2"/>
  <c r="N57" i="2"/>
  <c r="N46" i="2"/>
  <c r="N58" i="2"/>
  <c r="N59" i="2"/>
  <c r="H55" i="2"/>
  <c r="H57" i="2"/>
  <c r="H46" i="2"/>
  <c r="H58" i="2"/>
  <c r="H59" i="2"/>
  <c r="H54" i="2"/>
  <c r="M57" i="2"/>
  <c r="M46" i="2"/>
  <c r="M58" i="2"/>
  <c r="M59" i="2"/>
  <c r="M54" i="2"/>
  <c r="M55" i="2"/>
  <c r="K58" i="2"/>
  <c r="K59" i="2"/>
  <c r="K54" i="2"/>
  <c r="K55" i="2"/>
  <c r="K57" i="2"/>
  <c r="K46" i="2"/>
  <c r="L10" i="2"/>
  <c r="J10" i="2" l="1"/>
  <c r="J55" i="2" s="1"/>
  <c r="L46" i="2"/>
  <c r="L57" i="2"/>
  <c r="L58" i="2"/>
  <c r="L59" i="2"/>
  <c r="L54" i="2"/>
  <c r="L55" i="2"/>
  <c r="E97" i="5"/>
  <c r="E112" i="5"/>
  <c r="E111" i="5"/>
  <c r="E102" i="5"/>
  <c r="E101" i="5"/>
  <c r="E100" i="5"/>
  <c r="E99" i="5"/>
  <c r="E98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22" i="5"/>
  <c r="E21" i="5"/>
  <c r="E20" i="5"/>
  <c r="E19" i="5"/>
  <c r="E18" i="5"/>
  <c r="E17" i="5"/>
  <c r="E16" i="5"/>
  <c r="E15" i="5"/>
  <c r="E14" i="5"/>
  <c r="E13" i="5"/>
  <c r="J59" i="2" l="1"/>
  <c r="J54" i="2"/>
  <c r="J58" i="2"/>
  <c r="J46" i="2"/>
  <c r="J57" i="2"/>
  <c r="M32" i="2" l="1"/>
  <c r="G33" i="2"/>
  <c r="I35" i="2"/>
  <c r="J35" i="2"/>
  <c r="K35" i="2"/>
  <c r="L35" i="2"/>
  <c r="G35" i="2"/>
  <c r="H34" i="2"/>
  <c r="H63" i="2"/>
  <c r="I63" i="2"/>
  <c r="K63" i="2"/>
  <c r="M63" i="2"/>
  <c r="N63" i="2"/>
  <c r="F56" i="2"/>
  <c r="F60" i="2" l="1"/>
  <c r="M56" i="2"/>
  <c r="H56" i="2"/>
  <c r="N56" i="2"/>
  <c r="I56" i="2"/>
  <c r="J56" i="2"/>
  <c r="K56" i="2"/>
  <c r="L56" i="2"/>
  <c r="G64" i="2"/>
  <c r="H64" i="2" s="1"/>
  <c r="I64" i="2" s="1"/>
  <c r="J64" i="2" s="1"/>
  <c r="K64" i="2" s="1"/>
  <c r="L64" i="2" s="1"/>
  <c r="M64" i="2" s="1"/>
  <c r="N64" i="2" s="1"/>
  <c r="N38" i="2"/>
  <c r="H38" i="2"/>
  <c r="M25" i="2"/>
  <c r="M24" i="2"/>
  <c r="M101" i="2"/>
  <c r="N28" i="2"/>
  <c r="N24" i="2"/>
  <c r="N23" i="2"/>
  <c r="N22" i="2"/>
  <c r="N101" i="2"/>
  <c r="H25" i="2"/>
  <c r="H101" i="2"/>
  <c r="H24" i="2"/>
  <c r="H23" i="2"/>
  <c r="H22" i="2"/>
  <c r="H28" i="2"/>
  <c r="M15" i="2"/>
  <c r="M26" i="2"/>
  <c r="M27" i="2"/>
  <c r="M28" i="2"/>
  <c r="M21" i="2"/>
  <c r="M22" i="2"/>
  <c r="M23" i="2"/>
  <c r="N25" i="2"/>
  <c r="H15" i="2"/>
  <c r="H26" i="2"/>
  <c r="N15" i="2"/>
  <c r="N26" i="2"/>
  <c r="H21" i="2"/>
  <c r="H27" i="2"/>
  <c r="N21" i="2"/>
  <c r="N27" i="2"/>
  <c r="M38" i="2"/>
  <c r="N29" i="2" l="1"/>
  <c r="H29" i="2"/>
  <c r="M29" i="2"/>
  <c r="M76" i="2"/>
  <c r="J76" i="2"/>
  <c r="N80" i="2"/>
  <c r="N105" i="2" s="1"/>
  <c r="G80" i="2"/>
  <c r="G105" i="2" s="1"/>
  <c r="I76" i="2"/>
  <c r="I80" i="2" s="1"/>
  <c r="I105" i="2" s="1"/>
  <c r="K76" i="2"/>
  <c r="K80" i="2" s="1"/>
  <c r="K105" i="2" s="1"/>
  <c r="H80" i="2"/>
  <c r="H105" i="2" s="1"/>
  <c r="L76" i="2"/>
  <c r="L80" i="2" s="1"/>
  <c r="L105" i="2" s="1"/>
  <c r="H65" i="2"/>
  <c r="H69" i="2" s="1"/>
  <c r="L63" i="2"/>
  <c r="J63" i="2"/>
  <c r="H60" i="2"/>
  <c r="H68" i="2" s="1"/>
  <c r="M60" i="2"/>
  <c r="M68" i="2" s="1"/>
  <c r="N60" i="2"/>
  <c r="N68" i="2" s="1"/>
  <c r="K28" i="2"/>
  <c r="F96" i="2"/>
  <c r="F87" i="2"/>
  <c r="F45" i="2"/>
  <c r="F43" i="2"/>
  <c r="K38" i="2"/>
  <c r="F29" i="2"/>
  <c r="F47" i="2" s="1"/>
  <c r="K15" i="2"/>
  <c r="F14" i="2"/>
  <c r="N14" i="2" s="1"/>
  <c r="N16" i="2" s="1"/>
  <c r="M43" i="2" l="1"/>
  <c r="K43" i="2"/>
  <c r="H43" i="2"/>
  <c r="N43" i="2"/>
  <c r="I43" i="2"/>
  <c r="L43" i="2"/>
  <c r="J43" i="2"/>
  <c r="I45" i="2"/>
  <c r="H45" i="2"/>
  <c r="N45" i="2"/>
  <c r="M45" i="2"/>
  <c r="K45" i="2"/>
  <c r="J45" i="2"/>
  <c r="L45" i="2"/>
  <c r="I47" i="2"/>
  <c r="H47" i="2"/>
  <c r="N47" i="2"/>
  <c r="M47" i="2"/>
  <c r="K47" i="2"/>
  <c r="J47" i="2"/>
  <c r="L47" i="2"/>
  <c r="F97" i="2"/>
  <c r="H70" i="2"/>
  <c r="H104" i="2" s="1"/>
  <c r="H14" i="2"/>
  <c r="H16" i="2" s="1"/>
  <c r="M65" i="2"/>
  <c r="M69" i="2" s="1"/>
  <c r="M70" i="2" s="1"/>
  <c r="M104" i="2" s="1"/>
  <c r="I14" i="2"/>
  <c r="M14" i="2"/>
  <c r="M16" i="2" s="1"/>
  <c r="L38" i="2"/>
  <c r="K65" i="2"/>
  <c r="K69" i="2" s="1"/>
  <c r="K26" i="2"/>
  <c r="K27" i="2"/>
  <c r="K23" i="2"/>
  <c r="F65" i="2"/>
  <c r="J38" i="2"/>
  <c r="K14" i="2"/>
  <c r="K16" i="2" s="1"/>
  <c r="F16" i="2"/>
  <c r="K25" i="2"/>
  <c r="K22" i="2"/>
  <c r="F44" i="2"/>
  <c r="K24" i="2"/>
  <c r="K101" i="2"/>
  <c r="K21" i="2"/>
  <c r="I44" i="2" l="1"/>
  <c r="H44" i="2"/>
  <c r="H49" i="2" s="1"/>
  <c r="H103" i="2" s="1"/>
  <c r="M44" i="2"/>
  <c r="M49" i="2" s="1"/>
  <c r="M103" i="2" s="1"/>
  <c r="K44" i="2"/>
  <c r="K49" i="2" s="1"/>
  <c r="K103" i="2" s="1"/>
  <c r="N44" i="2"/>
  <c r="N49" i="2" s="1"/>
  <c r="N103" i="2" s="1"/>
  <c r="J44" i="2"/>
  <c r="L44" i="2"/>
  <c r="K29" i="2"/>
  <c r="K60" i="2"/>
  <c r="K68" i="2" s="1"/>
  <c r="J24" i="2"/>
  <c r="J14" i="2"/>
  <c r="J21" i="2"/>
  <c r="J15" i="2"/>
  <c r="J101" i="2"/>
  <c r="J27" i="2"/>
  <c r="J26" i="2"/>
  <c r="J28" i="2"/>
  <c r="J22" i="2"/>
  <c r="J65" i="2"/>
  <c r="J69" i="2" s="1"/>
  <c r="J25" i="2"/>
  <c r="J23" i="2"/>
  <c r="F49" i="2"/>
  <c r="F17" i="2"/>
  <c r="J29" i="2" l="1"/>
  <c r="J17" i="2"/>
  <c r="M17" i="2"/>
  <c r="M18" i="2" s="1"/>
  <c r="M39" i="2" s="1"/>
  <c r="M102" i="2" s="1"/>
  <c r="H17" i="2"/>
  <c r="H18" i="2" s="1"/>
  <c r="H39" i="2" s="1"/>
  <c r="H102" i="2" s="1"/>
  <c r="H106" i="2" s="1"/>
  <c r="H85" i="2" s="1"/>
  <c r="N17" i="2"/>
  <c r="N18" i="2" s="1"/>
  <c r="N39" i="2" s="1"/>
  <c r="N102" i="2" s="1"/>
  <c r="K17" i="2"/>
  <c r="K18" i="2" s="1"/>
  <c r="K39" i="2" s="1"/>
  <c r="K102" i="2" s="1"/>
  <c r="L17" i="2"/>
  <c r="I17" i="2"/>
  <c r="J60" i="2"/>
  <c r="J68" i="2" s="1"/>
  <c r="K70" i="2"/>
  <c r="K104" i="2" s="1"/>
  <c r="L21" i="2"/>
  <c r="L15" i="2"/>
  <c r="L14" i="2"/>
  <c r="L23" i="2"/>
  <c r="L101" i="2"/>
  <c r="L24" i="2"/>
  <c r="L28" i="2"/>
  <c r="L25" i="2"/>
  <c r="L26" i="2"/>
  <c r="L22" i="2"/>
  <c r="L27" i="2"/>
  <c r="J16" i="2"/>
  <c r="J49" i="2"/>
  <c r="J103" i="2" s="1"/>
  <c r="F18" i="2"/>
  <c r="L29" i="2" l="1"/>
  <c r="K106" i="2"/>
  <c r="L60" i="2"/>
  <c r="L68" i="2" s="1"/>
  <c r="J70" i="2"/>
  <c r="J104" i="2" s="1"/>
  <c r="L16" i="2"/>
  <c r="L18" i="2" s="1"/>
  <c r="L49" i="2"/>
  <c r="L103" i="2" s="1"/>
  <c r="J18" i="2"/>
  <c r="J39" i="2" s="1"/>
  <c r="J102" i="2" s="1"/>
  <c r="K85" i="2" l="1"/>
  <c r="H86" i="2"/>
  <c r="H87" i="2" s="1"/>
  <c r="L39" i="2"/>
  <c r="L102" i="2" s="1"/>
  <c r="K86" i="2" l="1"/>
  <c r="K87" i="2" s="1"/>
  <c r="H108" i="2"/>
  <c r="H10" i="3" s="1"/>
  <c r="H90" i="2"/>
  <c r="H93" i="2"/>
  <c r="H91" i="2"/>
  <c r="J10" i="3" l="1"/>
  <c r="K10" i="3" s="1"/>
  <c r="M10" i="3" s="1"/>
  <c r="K108" i="2"/>
  <c r="H13" i="3" s="1"/>
  <c r="J13" i="3" s="1"/>
  <c r="K91" i="2"/>
  <c r="K90" i="2"/>
  <c r="K93" i="2"/>
  <c r="H96" i="2"/>
  <c r="H97" i="2" s="1"/>
  <c r="H107" i="2" s="1"/>
  <c r="K13" i="3" l="1"/>
  <c r="K96" i="2"/>
  <c r="K97" i="2" s="1"/>
  <c r="K107" i="2" s="1"/>
  <c r="I38" i="2"/>
  <c r="M13" i="3" l="1"/>
  <c r="I24" i="2"/>
  <c r="I25" i="2"/>
  <c r="I101" i="2"/>
  <c r="I23" i="2"/>
  <c r="I26" i="2"/>
  <c r="I21" i="2"/>
  <c r="I22" i="2"/>
  <c r="I27" i="2"/>
  <c r="I28" i="2"/>
  <c r="I15" i="2"/>
  <c r="I29" i="2" l="1"/>
  <c r="I60" i="2"/>
  <c r="I68" i="2" s="1"/>
  <c r="I49" i="2"/>
  <c r="I103" i="2" s="1"/>
  <c r="I65" i="2"/>
  <c r="I69" i="2" s="1"/>
  <c r="N65" i="2"/>
  <c r="N69" i="2" s="1"/>
  <c r="N70" i="2" s="1"/>
  <c r="N104" i="2" s="1"/>
  <c r="N106" i="2" s="1"/>
  <c r="N85" i="2" s="1"/>
  <c r="I16" i="2"/>
  <c r="I18" i="2" s="1"/>
  <c r="N86" i="2" l="1"/>
  <c r="I70" i="2"/>
  <c r="I104" i="2" s="1"/>
  <c r="L65" i="2"/>
  <c r="L69" i="2" s="1"/>
  <c r="L70" i="2" s="1"/>
  <c r="L104" i="2" s="1"/>
  <c r="L106" i="2" s="1"/>
  <c r="L85" i="2" s="1"/>
  <c r="I39" i="2"/>
  <c r="I102" i="2" s="1"/>
  <c r="N87" i="2" l="1"/>
  <c r="L86" i="2"/>
  <c r="L87" i="2" s="1"/>
  <c r="L108" i="2" s="1"/>
  <c r="H14" i="3" s="1"/>
  <c r="J14" i="3" s="1"/>
  <c r="I106" i="2"/>
  <c r="I85" i="2" s="1"/>
  <c r="K14" i="3" l="1"/>
  <c r="M14" i="3" s="1"/>
  <c r="N93" i="2"/>
  <c r="N91" i="2"/>
  <c r="N90" i="2"/>
  <c r="N108" i="2"/>
  <c r="H16" i="3" s="1"/>
  <c r="J16" i="3" s="1"/>
  <c r="I86" i="2"/>
  <c r="I87" i="2" s="1"/>
  <c r="I108" i="2" s="1"/>
  <c r="H11" i="3" s="1"/>
  <c r="J11" i="3" s="1"/>
  <c r="K11" i="3" s="1"/>
  <c r="M11" i="3" s="1"/>
  <c r="L93" i="2"/>
  <c r="L90" i="2"/>
  <c r="L91" i="2"/>
  <c r="K16" i="3" l="1"/>
  <c r="N96" i="2"/>
  <c r="N97" i="2" s="1"/>
  <c r="N107" i="2" s="1"/>
  <c r="I90" i="2"/>
  <c r="I91" i="2"/>
  <c r="I93" i="2"/>
  <c r="L96" i="2"/>
  <c r="L97" i="2" s="1"/>
  <c r="L107" i="2" s="1"/>
  <c r="M16" i="3" l="1"/>
  <c r="I96" i="2"/>
  <c r="I97" i="2" s="1"/>
  <c r="I107" i="2" s="1"/>
  <c r="G10" i="2" l="1"/>
  <c r="G17" i="2" s="1"/>
  <c r="G38" i="2"/>
  <c r="G44" i="2" l="1"/>
  <c r="G23" i="2"/>
  <c r="G22" i="2"/>
  <c r="G54" i="2"/>
  <c r="G55" i="2"/>
  <c r="G26" i="2"/>
  <c r="G25" i="2"/>
  <c r="G47" i="2"/>
  <c r="G45" i="2"/>
  <c r="G56" i="2"/>
  <c r="G43" i="2"/>
  <c r="G21" i="2"/>
  <c r="G46" i="2"/>
  <c r="G14" i="2"/>
  <c r="G28" i="2"/>
  <c r="G27" i="2"/>
  <c r="G15" i="2"/>
  <c r="G101" i="2"/>
  <c r="G59" i="2"/>
  <c r="G58" i="2"/>
  <c r="G57" i="2"/>
  <c r="G24" i="2"/>
  <c r="G63" i="2"/>
  <c r="G65" i="2" s="1"/>
  <c r="G69" i="2" s="1"/>
  <c r="G49" i="2" l="1"/>
  <c r="G103" i="2" s="1"/>
  <c r="G60" i="2"/>
  <c r="G68" i="2" s="1"/>
  <c r="G70" i="2" s="1"/>
  <c r="G104" i="2" s="1"/>
  <c r="G16" i="2"/>
  <c r="G18" i="2" s="1"/>
  <c r="G29" i="2"/>
  <c r="G39" i="2" l="1"/>
  <c r="G102" i="2" s="1"/>
  <c r="G106" i="2" l="1"/>
  <c r="G85" i="2" s="1"/>
  <c r="G86" i="2" l="1"/>
  <c r="G87" i="2" s="1"/>
  <c r="G91" i="2" l="1"/>
  <c r="G90" i="2"/>
  <c r="G93" i="2"/>
  <c r="G108" i="2"/>
  <c r="H9" i="3" l="1"/>
  <c r="J9" i="3" s="1"/>
  <c r="K9" i="3" s="1"/>
  <c r="M9" i="3" s="1"/>
  <c r="G96" i="2"/>
  <c r="G97" i="2" s="1"/>
  <c r="G107" i="2" s="1"/>
  <c r="M80" i="2"/>
  <c r="M105" i="2" s="1"/>
  <c r="M106" i="2" s="1"/>
  <c r="M85" i="2" l="1"/>
  <c r="M86" i="2" l="1"/>
  <c r="M87" i="2" s="1"/>
  <c r="M91" i="2" l="1"/>
  <c r="M90" i="2"/>
  <c r="M93" i="2"/>
  <c r="M108" i="2"/>
  <c r="H15" i="3" s="1"/>
  <c r="J15" i="3" s="1"/>
  <c r="K15" i="3" s="1"/>
  <c r="M15" i="3" s="1"/>
  <c r="M96" i="2" l="1"/>
  <c r="M97" i="2" s="1"/>
  <c r="M107" i="2" s="1"/>
  <c r="J80" i="2" l="1"/>
  <c r="J105" i="2" s="1"/>
  <c r="J106" i="2" s="1"/>
  <c r="J85" i="2" l="1"/>
  <c r="J86" i="2" s="1"/>
  <c r="J87" i="2" l="1"/>
  <c r="J90" i="2" l="1"/>
  <c r="J91" i="2"/>
  <c r="J93" i="2"/>
  <c r="J108" i="2"/>
  <c r="H12" i="3" s="1"/>
  <c r="J12" i="3" s="1"/>
  <c r="K12" i="3" s="1"/>
  <c r="M12" i="3" s="1"/>
  <c r="J17" i="3" l="1"/>
  <c r="J96" i="2"/>
  <c r="J97" i="2" s="1"/>
  <c r="J107" i="2" s="1"/>
  <c r="M17" i="3" l="1"/>
</calcChain>
</file>

<file path=xl/sharedStrings.xml><?xml version="1.0" encoding="utf-8"?>
<sst xmlns="http://schemas.openxmlformats.org/spreadsheetml/2006/main" count="1551" uniqueCount="704">
  <si>
    <t>Módulo 1 - Composição da remuneração</t>
  </si>
  <si>
    <t>Remuneração</t>
  </si>
  <si>
    <t>Quant.</t>
  </si>
  <si>
    <t>Subtotal</t>
  </si>
  <si>
    <t>A</t>
  </si>
  <si>
    <t xml:space="preserve">Salário </t>
  </si>
  <si>
    <t>B</t>
  </si>
  <si>
    <t>Adicional de Periculosidade</t>
  </si>
  <si>
    <t>TOTAL Módulo 1 - Composição da remuneração</t>
  </si>
  <si>
    <t>Módulo 2 - Encargos e Benefícios Anuais, Mensais e Diários</t>
  </si>
  <si>
    <t>2.1</t>
  </si>
  <si>
    <t>13º (décimo terceiro) salário</t>
  </si>
  <si>
    <t>Férias + Adicional de Férias</t>
  </si>
  <si>
    <t>D</t>
  </si>
  <si>
    <t>Incidência do submódulo 2.2 sobre o submódulo 2.1</t>
  </si>
  <si>
    <t>2.2</t>
  </si>
  <si>
    <t>INSS</t>
  </si>
  <si>
    <t xml:space="preserve">SALÁRIO EDUCAÇÃO </t>
  </si>
  <si>
    <t>C</t>
  </si>
  <si>
    <t>SAT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</si>
  <si>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</si>
  <si>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</si>
  <si>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</si>
  <si>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</si>
  <si>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</si>
  <si>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</si>
  <si>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</si>
  <si>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</si>
  <si>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</si>
  <si>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t>2.3</t>
  </si>
  <si>
    <t>BENEFÍCIOS MENSAIS E DIÁRIOS</t>
  </si>
  <si>
    <t>Unid/dias</t>
  </si>
  <si>
    <t>Valor Unitário</t>
  </si>
  <si>
    <t>TOTAL Módulo 2 - Encargos e Benefícios Anuais, Mensais e Diários</t>
  </si>
  <si>
    <t>Módulo 3 - Provisão para Rescisão</t>
  </si>
  <si>
    <t>Provisão para rescisão</t>
  </si>
  <si>
    <t>Total</t>
  </si>
  <si>
    <t xml:space="preserve">Aviso prévio indenizado </t>
  </si>
  <si>
    <t xml:space="preserve">Incidência do FGTS sobre aviso prévio indenizado </t>
  </si>
  <si>
    <t>Multa sobre FGTS e contribuições sociais sobre o aviso prévio indenizado</t>
  </si>
  <si>
    <t>Aviso prévio trabalhado</t>
  </si>
  <si>
    <t>Incidência dos encargos do submódulo 2.2 sobre aviso prévio trabalhado</t>
  </si>
  <si>
    <t>Multa sobre FGTS e contribuições sociais sobre o aviso prévio trabalhado</t>
  </si>
  <si>
    <t>TOTAL Módulo 3 - Insumos Diversos</t>
  </si>
  <si>
    <t>OBS. Conforme entendimento do TCU no Acórdão nº 1.186/2017 - Plenário, a Administração "deve estabelecer na minuta do contrato que a parcela mensal a título de aviso prévio trabalhado será no percentual máximo de 1,94% no primeiro ano, e, em caso de prorrogação do contrato, o percentual máximo dessa parcela será de 0,194% a cada ano de prorrogação, a ser incluído por ocasião da formulação do aditivo da prorrogação do contrato, conforme a Lei 12.506/2011" (Enunciado do Boletim de Jurisprudência nº 176/2017).</t>
  </si>
  <si>
    <t>Módulo 4 - Custo de Reposição do Profissional Ausente</t>
  </si>
  <si>
    <t>4.1</t>
  </si>
  <si>
    <t>Ausências legais</t>
  </si>
  <si>
    <t>Férias (custo do ferista - cobertura do residente)</t>
  </si>
  <si>
    <t>Ausências por acidente de trabalho</t>
  </si>
  <si>
    <t>Ausência por doença</t>
  </si>
  <si>
    <t>Outros especificar</t>
  </si>
  <si>
    <t>4.2</t>
  </si>
  <si>
    <t>Intrajornada</t>
  </si>
  <si>
    <t xml:space="preserve">Intervalo para repouso ou alimentação </t>
  </si>
  <si>
    <t>Módulo 5 - Insumos Diversos</t>
  </si>
  <si>
    <t>Insumos diversos</t>
  </si>
  <si>
    <t>Materiais</t>
  </si>
  <si>
    <t>TOTAL Módulo 5 -  Insumos Diversos</t>
  </si>
  <si>
    <t>Módulo 6 -  Custos indiretos, Lucro e Tributos</t>
  </si>
  <si>
    <t>Custos Indiretos, Tributos e Lucro</t>
  </si>
  <si>
    <t>Custos Indiretos (Taxa de Administração Desp. Operacionais)</t>
  </si>
  <si>
    <t>Lucro</t>
  </si>
  <si>
    <t>Subtotal (A+B)</t>
  </si>
  <si>
    <t>Tributos</t>
  </si>
  <si>
    <t>C.1</t>
  </si>
  <si>
    <t>Tributos Federais</t>
  </si>
  <si>
    <t>COFINS</t>
  </si>
  <si>
    <t>PIS</t>
  </si>
  <si>
    <t>C.2</t>
  </si>
  <si>
    <t>Tributos Estaduais</t>
  </si>
  <si>
    <t>ISS</t>
  </si>
  <si>
    <t>C.3</t>
  </si>
  <si>
    <t xml:space="preserve">Tributos Municipais </t>
  </si>
  <si>
    <t>C.4</t>
  </si>
  <si>
    <t>Outros tributos</t>
  </si>
  <si>
    <t>Subtotal (C)</t>
  </si>
  <si>
    <t>Mão-de-obra vinculada à execução contratual</t>
  </si>
  <si>
    <t>Módulo 1 – Composição da Remuneração</t>
  </si>
  <si>
    <t>Módulo 2 – Encargos e Benefícios Anuais, Mensais e Diários Benefícios Mensais e Diários</t>
  </si>
  <si>
    <t>Módulo 3 – Provisão para Rescisão</t>
  </si>
  <si>
    <t>Módulo 4 – Custo de reposição do profissional ausente</t>
  </si>
  <si>
    <t>Módulo 5 - Insumo diversos</t>
  </si>
  <si>
    <t>Módulo 6 – Custos indiretos, tributos e lucro</t>
  </si>
  <si>
    <t>Valor Mensal</t>
  </si>
  <si>
    <t>Item</t>
  </si>
  <si>
    <t>QUADRO RESUMO DO CUSTO POR EMPREGADO</t>
  </si>
  <si>
    <t>Convenção Coletiva de Trabalho p/ Benefícios</t>
  </si>
  <si>
    <t>Outros</t>
  </si>
  <si>
    <t>AUSÊNCIAS LEGAIS</t>
  </si>
  <si>
    <t>INTRAJORNADA</t>
  </si>
  <si>
    <t>QUADRO RESUMO - MÓDULO 4 -  CUSTO DE REPOSIÇÃO DE PROFISSIONAL AUSENTE</t>
  </si>
  <si>
    <t>13º Salário, Férias e Adicional de Férias</t>
  </si>
  <si>
    <t>Encargos Previdenciários, FGTS e Outras Contribuições</t>
  </si>
  <si>
    <t>Total do Submódulo 2.1</t>
  </si>
  <si>
    <t>Total do Submódulo 2.2</t>
  </si>
  <si>
    <t>Total do Submódulo 2.3</t>
  </si>
  <si>
    <t>Total do Submódulo 4.1</t>
  </si>
  <si>
    <t>Total do Submódulo 4.2</t>
  </si>
  <si>
    <t>Total Módulo 4 - Encargos Sociais e Trabalhistas</t>
  </si>
  <si>
    <t>Total Módulo 6 - Custos indiretos, Lucro e Tributos</t>
  </si>
  <si>
    <t>VALOR TOTAL POR POSTO</t>
  </si>
  <si>
    <t>Licenças maternidade/paternidade</t>
  </si>
  <si>
    <t>Jornada</t>
  </si>
  <si>
    <t>Quadro Resumo - Pesquisa de Preço</t>
  </si>
  <si>
    <t>Und.</t>
  </si>
  <si>
    <t>Vigilância Armada 
Diurno
12x36h</t>
  </si>
  <si>
    <t>Vigilância Armada
Noturno
12x36h </t>
  </si>
  <si>
    <t>Vigilância Desarmada
Diurno
12x36h</t>
  </si>
  <si>
    <t>Vigilância Desarmada
 Noturno
12x36h</t>
  </si>
  <si>
    <t>Vigilância Desarmada
Diurno
Seg. a sex. - 44h</t>
  </si>
  <si>
    <t>Operador de Sist. Eletr.
Diurno
Seg. a sex. - 12x36h</t>
  </si>
  <si>
    <t>Turno</t>
  </si>
  <si>
    <t>Tipo de Posto</t>
  </si>
  <si>
    <t>Diurno</t>
  </si>
  <si>
    <t>Noturno</t>
  </si>
  <si>
    <t>Desarmado</t>
  </si>
  <si>
    <t>Armado</t>
  </si>
  <si>
    <t>Supervisor Desarmado 
Diurno
12x36h</t>
  </si>
  <si>
    <t>Supervisor Desarmado Diurno
Seg. a sex. - 44h</t>
  </si>
  <si>
    <r>
      <t xml:space="preserve">Identificação do Responsável pela Cotação - </t>
    </r>
    <r>
      <rPr>
        <sz val="11"/>
        <rFont val="Calibri"/>
        <family val="2"/>
        <scheme val="minor"/>
      </rPr>
      <t>Stefano Babinski Neto</t>
    </r>
  </si>
  <si>
    <t>Supervisor</t>
  </si>
  <si>
    <t>Vigilância</t>
  </si>
  <si>
    <t>Operador de Sistema Eletrônico</t>
  </si>
  <si>
    <t>12 X 36 h</t>
  </si>
  <si>
    <t>44 h</t>
  </si>
  <si>
    <t>Incidência</t>
  </si>
  <si>
    <t>Cargo</t>
  </si>
  <si>
    <r>
      <t>Base legal para a cotação</t>
    </r>
    <r>
      <rPr>
        <sz val="11"/>
        <rFont val="Calibri"/>
        <family val="2"/>
        <scheme val="minor"/>
      </rPr>
      <t xml:space="preserve"> - Instrução Normativa n. 05/2017 / Instrução Normativa 65/2021</t>
    </r>
  </si>
  <si>
    <t>Vale transporte - 44h</t>
  </si>
  <si>
    <t>Vale transporte - 12x36h</t>
  </si>
  <si>
    <t>Auxílio alimentação - 44h / SINDESV</t>
  </si>
  <si>
    <t>Auxílio alimentação - 12x36h / SINDESV</t>
  </si>
  <si>
    <t>UNIFORME SOCIAL - MASCULINO</t>
  </si>
  <si>
    <t>ITEM</t>
  </si>
  <si>
    <t>R.1</t>
  </si>
  <si>
    <t>R.2</t>
  </si>
  <si>
    <t>R.3</t>
  </si>
  <si>
    <t>R.4</t>
  </si>
  <si>
    <t>R.5</t>
  </si>
  <si>
    <t>Unidade</t>
  </si>
  <si>
    <t>Camisa</t>
  </si>
  <si>
    <t>Cinto</t>
  </si>
  <si>
    <t>Meia</t>
  </si>
  <si>
    <t>Par</t>
  </si>
  <si>
    <t>UNIFORME SOCIAL - FEMININO</t>
  </si>
  <si>
    <t>UNIFORMES</t>
  </si>
  <si>
    <t>UNIFORME - VIGILANTE OPERACIONAL - FEMININO/MASCULINO</t>
  </si>
  <si>
    <t>Calça</t>
  </si>
  <si>
    <t>Coturno</t>
  </si>
  <si>
    <t>Jaqueta</t>
  </si>
  <si>
    <t>Uniforme - Vigilante Operacional (Feminino/Masculino)</t>
  </si>
  <si>
    <t>MATERIAIS DE CONSUMO</t>
  </si>
  <si>
    <t>Sgon 1</t>
  </si>
  <si>
    <t>Sgon 2</t>
  </si>
  <si>
    <t>Anexo</t>
  </si>
  <si>
    <t>Sede</t>
  </si>
  <si>
    <t>TOTAL</t>
  </si>
  <si>
    <t>Capa de chuva com capuz</t>
  </si>
  <si>
    <t>Spray de pimenta</t>
  </si>
  <si>
    <t>EQUIPAMENTOS</t>
  </si>
  <si>
    <t>Detector de metais portátil, bateria de 9V; Frequência de trabalho: 95KHz ± 10%.</t>
  </si>
  <si>
    <t>Lanterna LED com bateria recarregável com carregador.</t>
  </si>
  <si>
    <t>Porta-tonfa/porta-cassetete.</t>
  </si>
  <si>
    <t>Tonfa/cassetete emborrachado</t>
  </si>
  <si>
    <t xml:space="preserve">Rádio transceptor de comunicação móvel e portátil com nível de potência ajustável, alcance mínimo 20 km na transmissão, acompanhado com bateria carregável, frequência autorizada pela Anatel. </t>
  </si>
  <si>
    <t>Revólver calibre 38 - 8 tiros</t>
  </si>
  <si>
    <t>Munição revólver calibre 38 – 8 tiros - Blister c/10</t>
  </si>
  <si>
    <t>RESULTADO</t>
  </si>
  <si>
    <t>DATAS</t>
  </si>
  <si>
    <t>EMPRESA</t>
  </si>
  <si>
    <t>CNPJ</t>
  </si>
  <si>
    <t>E-MAIL/ID. PNCP</t>
  </si>
  <si>
    <t>TELEFONE</t>
  </si>
  <si>
    <t>ÓRGÃO</t>
  </si>
  <si>
    <t>CONTRATO/PREGÃO/UASG</t>
  </si>
  <si>
    <t>VALOR</t>
  </si>
  <si>
    <t>DATA DA PROPOSTA</t>
  </si>
  <si>
    <t>VIGÊNCIA</t>
  </si>
  <si>
    <t>ITEM 1</t>
  </si>
  <si>
    <t>CLARITA GRINGS</t>
  </si>
  <si>
    <t>09.114.683/0001-82</t>
  </si>
  <si>
    <t>rayletconfeccoes@gmail.com</t>
  </si>
  <si>
    <t>(55) 3511-1442</t>
  </si>
  <si>
    <t>FUNDACAO MUNICIPAL DE SAUDE DE SANTA ROSA</t>
  </si>
  <si>
    <t>ID. 01273946000194-1-000094/2025</t>
  </si>
  <si>
    <t>JOCENILDA SILVA DE SOUSA LTDA</t>
  </si>
  <si>
    <t>11.630.275/0001-25</t>
  </si>
  <si>
    <t>financeiro@pedraazulmat.com.br</t>
  </si>
  <si>
    <t>(49) 3246-0333</t>
  </si>
  <si>
    <t>CAJAZEIRAS CAMARA MUNICIPAL</t>
  </si>
  <si>
    <t>ELENIR DE PAULA OLIVEIRA</t>
  </si>
  <si>
    <t>31.096.850/0001-69</t>
  </si>
  <si>
    <t>rosydaitx@hotmail.com</t>
  </si>
  <si>
    <t>(51) 99838-3878</t>
  </si>
  <si>
    <t>LIMA DUARTE CAMARA MUNICIPAL</t>
  </si>
  <si>
    <t>ID. 20434122000101-1-000003/2025</t>
  </si>
  <si>
    <t>M.A.S.- MATERIAIS E ROUPAS PROFISSIONAIS</t>
  </si>
  <si>
    <t>03.869.459/0001-14</t>
  </si>
  <si>
    <t>m.arcoverde@yahoo.com.br</t>
  </si>
  <si>
    <t>(11) 3329-9520</t>
  </si>
  <si>
    <t>MUNICIPIO DE AMERICO BRASILIENSE</t>
  </si>
  <si>
    <t>ID. 43976166000150-1-000139/2024</t>
  </si>
  <si>
    <t>MALHARIA FERNANDES DA MATTA EIRELI</t>
  </si>
  <si>
    <t>23.331.402/0001-74</t>
  </si>
  <si>
    <t>ROSANA.ELLOSERVCONT@GMAIL.COM</t>
  </si>
  <si>
    <t>(33). 3514-1629</t>
  </si>
  <si>
    <t>Prefeitura Municipal de Capelinha</t>
  </si>
  <si>
    <t>ID. 59852-00162025-00072025</t>
  </si>
  <si>
    <t>ITEM 2</t>
  </si>
  <si>
    <t>INDUSMODA LTDA</t>
  </si>
  <si>
    <t>08.707.992/0001-01</t>
  </si>
  <si>
    <t>clovisb@catuai.com.br</t>
  </si>
  <si>
    <t>(43) 3024-1100</t>
  </si>
  <si>
    <t>CAMARA MUNICIPAL DE VARGINHA</t>
  </si>
  <si>
    <t>Id.04366790000184-1-000017/2025</t>
  </si>
  <si>
    <t>ID.04366790000184-1-000017/2025 - Lote 1/1</t>
  </si>
  <si>
    <t>MARIA ISLENE DE ALENCAR</t>
  </si>
  <si>
    <t>14.218.608/0001-00</t>
  </si>
  <si>
    <t>ideal.contabil3@gmail.com</t>
  </si>
  <si>
    <t>(88) 99970-9633</t>
  </si>
  <si>
    <t>MUNICIPIO DE JUCAS</t>
  </si>
  <si>
    <t>ID. 07541279000160-1-000033/2024</t>
  </si>
  <si>
    <t>RIOLLI&amp;LIMA UNIFORMES LTDA</t>
  </si>
  <si>
    <t>50.583.738/0001-05</t>
  </si>
  <si>
    <t>riolliuniformes@hotmail.com</t>
  </si>
  <si>
    <t>(44) 99924-1188</t>
  </si>
  <si>
    <t>SERVICO AUTONOMO DE AGUA E ESGOTO S A A E</t>
  </si>
  <si>
    <t>Id. 27780220000131-1-000021/2024</t>
  </si>
  <si>
    <t>MARCOS S. BRANDAO BARBOSA</t>
  </si>
  <si>
    <t>48.396.364/0001-69</t>
  </si>
  <si>
    <t>bebdistribuicao@gmail.com</t>
  </si>
  <si>
    <t>(81) 99613-4104</t>
  </si>
  <si>
    <t>Prefeitura Municipal do Recife</t>
  </si>
  <si>
    <t>ID. 32680 - 0122024-0122024</t>
  </si>
  <si>
    <t>ITEM 3</t>
  </si>
  <si>
    <t>INOVARE COMERCIO E PLANEJAMENTO ADMINISTRATIVO LTDA</t>
  </si>
  <si>
    <t>14.378.714/0001-42</t>
  </si>
  <si>
    <t>inovare@inovarecomercio.com.br</t>
  </si>
  <si>
    <t>(24) 3346-4310</t>
  </si>
  <si>
    <t>MINISTÉRIO DA DEFESA</t>
  </si>
  <si>
    <t>NºPregão:900062025 / UASG:160447</t>
  </si>
  <si>
    <t>AFA INDUSTRIA COMERCIO E SERVICOS LTDA</t>
  </si>
  <si>
    <t>24.935.788/0001-96</t>
  </si>
  <si>
    <t>afaindustria.licitacao@gmail.com</t>
  </si>
  <si>
    <t>(62) 3567-2775</t>
  </si>
  <si>
    <t>Comando do Exército - MD</t>
  </si>
  <si>
    <t>NºPregão:900142024 / UASG:160247</t>
  </si>
  <si>
    <t>LATORRES DISTRIBUIDORA LTDA</t>
  </si>
  <si>
    <t>02.028.356/0001-69</t>
  </si>
  <si>
    <t>latorresfinanceiro@gmail.com</t>
  </si>
  <si>
    <t>(38) 9930-0801</t>
  </si>
  <si>
    <t>Prefeitura Municipal de São João do Paraíso</t>
  </si>
  <si>
    <t>ID. 47251266924678176649138-0022592024-0000492024</t>
  </si>
  <si>
    <t>RODRIGO AUGUSTO RODRIGUES</t>
  </si>
  <si>
    <t>06.786.973/0001-84</t>
  </si>
  <si>
    <t>tigare@terra.com.br</t>
  </si>
  <si>
    <t>(17) 3421-7054</t>
  </si>
  <si>
    <t>MUNICIPIO DE MAFRA</t>
  </si>
  <si>
    <t>Id. 034-2024</t>
  </si>
  <si>
    <t>Prefeitura Municipal de Mafra</t>
  </si>
  <si>
    <t>Id. MV8yMzcy</t>
  </si>
  <si>
    <t>ITEM 4</t>
  </si>
  <si>
    <t>WPPT CONFECCOES LTDA</t>
  </si>
  <si>
    <t>45.438.114/0001-56</t>
  </si>
  <si>
    <t>wpptconfeccoes@gmail.com</t>
  </si>
  <si>
    <t>(32) 9954-5867</t>
  </si>
  <si>
    <t>PREFEITURA MUNICIPAL DE PRUDENTOPOLIS</t>
  </si>
  <si>
    <t>NºPregão:900152025 / UASG:987791 - 82</t>
  </si>
  <si>
    <t>NºPregão:900152025 / UASG:987791 - 84</t>
  </si>
  <si>
    <t>NºPregão:900152025 / UASG:987791 - 81</t>
  </si>
  <si>
    <t>BBC COMERCIAL DISTRIBUIDORA E SERVICOS LTDA</t>
  </si>
  <si>
    <t>17.177.467/0001-04</t>
  </si>
  <si>
    <t>bbclicitacao@gmail.com</t>
  </si>
  <si>
    <t>(79) 3024-2637</t>
  </si>
  <si>
    <t>AGENCIA MUNICIPAL DE REGULAÇÃO DE SERVIÇOS DELEGADOS</t>
  </si>
  <si>
    <t>NºPregão:900352025 / UASG:926703</t>
  </si>
  <si>
    <t>48.872.983 LUCIAN VILELA MELATO</t>
  </si>
  <si>
    <t>48.872.983/0001-82</t>
  </si>
  <si>
    <t>lmuniformes1@outlook.com</t>
  </si>
  <si>
    <t>(11) 2201-7756</t>
  </si>
  <si>
    <t>PREFEITURA MUNICIPAL DE BOTUCATU</t>
  </si>
  <si>
    <t>NºPregão:903522024 / UASG:986249</t>
  </si>
  <si>
    <t>ITEM 5</t>
  </si>
  <si>
    <t>RENNER</t>
  </si>
  <si>
    <t>92.754.738/0001-62</t>
  </si>
  <si>
    <t>faleconosco@lojasrenner.com.br</t>
  </si>
  <si>
    <t xml:space="preserve"> 0800 073 6637</t>
  </si>
  <si>
    <t>MÍDIA ESPECIALIZADA</t>
  </si>
  <si>
    <t>NS2.Com Internet S/A (ZATTINI)</t>
  </si>
  <si>
    <t>09.339.936/0001-16</t>
  </si>
  <si>
    <t>encarregado@netshoes.com</t>
  </si>
  <si>
    <t>(11) 3028-5353</t>
  </si>
  <si>
    <t>Couroquimica Couros E Acab. Ltd (CARMEN STEFFENS)</t>
  </si>
  <si>
    <t>50.719.061/0007-77</t>
  </si>
  <si>
    <t>csonline@carmensteffens.com.br</t>
  </si>
  <si>
    <t>3003 8494</t>
  </si>
  <si>
    <t>Somos Sonho Ltda (SAPATELLA)</t>
  </si>
  <si>
    <t>28.445.729/0081-75</t>
  </si>
  <si>
    <t>atendimento@sapatella.com.br</t>
  </si>
  <si>
    <t>(21) 99318 5736</t>
  </si>
  <si>
    <t>SANTA LOLLA</t>
  </si>
  <si>
    <t>09.539.042/0001-70</t>
  </si>
  <si>
    <t>dpo@santalolla.com.br</t>
  </si>
  <si>
    <t>(61) 3362-1301</t>
  </si>
  <si>
    <t>ITEM 6</t>
  </si>
  <si>
    <t>GABBY UNIFORMES E TECIDOS LTDA</t>
  </si>
  <si>
    <t>39.797.284/0001-24</t>
  </si>
  <si>
    <t>luceliadi@gmail.com</t>
  </si>
  <si>
    <t>(68) 9904-0495</t>
  </si>
  <si>
    <t>SECRETARIA DE ESTADO DA JUSTICA E SEGURANCA PUBLICA SEJUSP</t>
  </si>
  <si>
    <t>Id. 63608947000108-1-000010/2025</t>
  </si>
  <si>
    <t>M. E. INDUSTRIA DE CONFECCOES LTDA</t>
  </si>
  <si>
    <t>34.179.636/0001-64</t>
  </si>
  <si>
    <t>curitiba.cadastro@hotmail.com</t>
  </si>
  <si>
    <t>(69) 3461-5447</t>
  </si>
  <si>
    <t>GOVERNO DO ESTADO DE RONDONIA</t>
  </si>
  <si>
    <t>NºPregão:900662025 / UASG:925373</t>
  </si>
  <si>
    <t>PONIX DISTRIBUIDORA DE PRODUTOS LTDA</t>
  </si>
  <si>
    <t>32.282.397/0001-48</t>
  </si>
  <si>
    <t>ponix@ponix.com.br</t>
  </si>
  <si>
    <t>(11) 2155-1235</t>
  </si>
  <si>
    <t>NºPregão:900052025 / UASG:120001</t>
  </si>
  <si>
    <t>M C S COMERCIO E SERVICOS LTDA</t>
  </si>
  <si>
    <t>40.189.795/0001-42</t>
  </si>
  <si>
    <t>alacide3433@hotmail.com</t>
  </si>
  <si>
    <t>(99) 9217-3308</t>
  </si>
  <si>
    <t>PREFEITURA MUNICIPAL DE JOÃO LISBOA/MA</t>
  </si>
  <si>
    <t>NºPregão:900222024 / UASG:980809</t>
  </si>
  <si>
    <t>PREF.MUN.DE RIO VERDE</t>
  </si>
  <si>
    <t>NºPregão:900232024 / UASG:989571</t>
  </si>
  <si>
    <t>1º Batalhão Ferroviário - MD</t>
  </si>
  <si>
    <t>SOFT GEL INDUSTRIA E COMERCIO LTDA</t>
  </si>
  <si>
    <t>39.581.198/0001-80</t>
  </si>
  <si>
    <t>softgelcalcados@gmail.com</t>
  </si>
  <si>
    <t>(16) 3725-1531</t>
  </si>
  <si>
    <t>32º BATALHÃO DE INFANTARIA LEVE</t>
  </si>
  <si>
    <t>E F LUCENA FILHO</t>
  </si>
  <si>
    <t>55.975.670/0001-15</t>
  </si>
  <si>
    <t>ewersonlucenafilho@icloud.com</t>
  </si>
  <si>
    <t>(16) 99209-8560</t>
  </si>
  <si>
    <t>HOSPITAL UNIVERSITÁRIO OSWALDO CRUZ</t>
  </si>
  <si>
    <t>id. 28728</t>
  </si>
  <si>
    <t>JACSON DOS SANTOS</t>
  </si>
  <si>
    <t>10.457.115/0001-63</t>
  </si>
  <si>
    <t>societario@lidersc.com.br</t>
  </si>
  <si>
    <t>(48) 3028-9099</t>
  </si>
  <si>
    <t>MUNICÍPIO DE MATA DE SÃO JOÃO/BA</t>
  </si>
  <si>
    <t>Id. 115762</t>
  </si>
  <si>
    <t>PORTAL INDUSTRIA,</t>
  </si>
  <si>
    <t>20.213.219/0001-86</t>
  </si>
  <si>
    <t>vendasportalc@gmail.com</t>
  </si>
  <si>
    <t>(83) 3283-1528</t>
  </si>
  <si>
    <t>MUNICIPIO DE MATARACA</t>
  </si>
  <si>
    <t>ID. 00011-2024</t>
  </si>
  <si>
    <t>NºPregão:900142024 / UASG:160247 - 11</t>
  </si>
  <si>
    <t>NºPregão:900142024 / UASG:160247 - 12</t>
  </si>
  <si>
    <t>AMERICANAS</t>
  </si>
  <si>
    <t>00.776.574/0006-60</t>
  </si>
  <si>
    <t>atendimento.acom@americanas.com</t>
  </si>
  <si>
    <t>4003-4848</t>
  </si>
  <si>
    <t>TOP GRAVATAS</t>
  </si>
  <si>
    <t>18.073.419/0001-39</t>
  </si>
  <si>
    <t>top-comercial@bol.com.br</t>
  </si>
  <si>
    <t>(11) 9 8716-0497</t>
  </si>
  <si>
    <t>Casa das Gravatas LTDA</t>
  </si>
  <si>
    <t>02.793.493/0001-90</t>
  </si>
  <si>
    <t>casadasgravatas@uol.com.br</t>
  </si>
  <si>
    <t>(11) 3229-4570</t>
  </si>
  <si>
    <t>M.O.B SORTE SERIGRAFIA E BRINDES</t>
  </si>
  <si>
    <t>07.574.513/0001-55</t>
  </si>
  <si>
    <t>candangobrindes@hotmail.com</t>
  </si>
  <si>
    <t>(61) 98665-2833</t>
  </si>
  <si>
    <t>DEPÓSITO DE SUPRIMENTO</t>
  </si>
  <si>
    <t>Dispensa nº 90019/2025 - UASG: 160120</t>
  </si>
  <si>
    <t>BARUC UNIFORMES E CONFECÇÕES</t>
  </si>
  <si>
    <t>22.053.648/0001-69</t>
  </si>
  <si>
    <t>uniformesbaruc@outlook.com</t>
  </si>
  <si>
    <t>(28) 3518-9094</t>
  </si>
  <si>
    <t>PREFEITURA MUNICIPAL DE PARANAVAI</t>
  </si>
  <si>
    <t>PE nº 020/2025</t>
  </si>
  <si>
    <t>KEVIN HENRIQUE DOS SANTOS</t>
  </si>
  <si>
    <t>54.426.456/0001-47</t>
  </si>
  <si>
    <t>kevinhenrique094@gmail.com</t>
  </si>
  <si>
    <t>(43) 99909-8715</t>
  </si>
  <si>
    <t>5 REGIMENTO DE CARROS DE COMBATE</t>
  </si>
  <si>
    <t>PE nº 11/2024 - 160234</t>
  </si>
  <si>
    <t>moboasorte@hotmail.com</t>
  </si>
  <si>
    <t>(61) 3387-2573</t>
  </si>
  <si>
    <t>10.268.280/0001-77</t>
  </si>
  <si>
    <t xml:space="preserve"> mvinflaveis@gmail.com</t>
  </si>
  <si>
    <t>(62) 98293-0105</t>
  </si>
  <si>
    <t>PREFEITURA MUNICIPAL DE ARAPONGAS/PR</t>
  </si>
  <si>
    <t>PE nº 90026/2025 - UASG: 987427</t>
  </si>
  <si>
    <t>R. BRANDS LTDA (INVICTUS TATICAL)</t>
  </si>
  <si>
    <t>13.992.333/0001-96</t>
  </si>
  <si>
    <t>sac@invictus.com.br</t>
  </si>
  <si>
    <t>(48) 3771-5050</t>
  </si>
  <si>
    <t>Toca Militar Artigos MIlitares e Camping</t>
  </si>
  <si>
    <t>22.343.932/0001-70</t>
  </si>
  <si>
    <t>atendimento@tocamilitar.com.br</t>
  </si>
  <si>
    <t>(19) 99687-5572</t>
  </si>
  <si>
    <t>Explorium</t>
  </si>
  <si>
    <t>31.726.163/0001-80</t>
  </si>
  <si>
    <t>exploriumloja@gmail.com</t>
  </si>
  <si>
    <t>(55) 3028-8811</t>
  </si>
  <si>
    <t>Copyright W e Kim Comercial</t>
  </si>
  <si>
    <t>22.806.331/0001-56</t>
  </si>
  <si>
    <t>wekimcomercial@gmail.com</t>
  </si>
  <si>
    <t>(11) 3277-5107</t>
  </si>
  <si>
    <t>DOUGLAS DE OLIVEIRA SANDI</t>
  </si>
  <si>
    <t>39.628.799/0001-09</t>
  </si>
  <si>
    <t>airsoftsandi@gmail.com</t>
  </si>
  <si>
    <t>(51) 99295-0130</t>
  </si>
  <si>
    <t>MULTSERV SEGURANÇA E VIGILÂNCIA PATRIMONIAL LTDA</t>
  </si>
  <si>
    <t>04.689.445/0001-81</t>
  </si>
  <si>
    <t xml:space="preserve"> marcus@grupomultserv.com</t>
  </si>
  <si>
    <t>(61) 3202-5555</t>
  </si>
  <si>
    <t>TRIBUNAL DE CONTAS DA UNIÃO</t>
  </si>
  <si>
    <t>1º T.A - Contrato nº 59/2024</t>
  </si>
  <si>
    <t>G I EMPRESA DE SEGURANÇA LTDA</t>
  </si>
  <si>
    <t>07.473.476/0001-99</t>
  </si>
  <si>
    <t>cordenacao@grupointerativa.net</t>
  </si>
  <si>
    <t>(61) 3399-7996</t>
  </si>
  <si>
    <t>MINISTÉRIO DA SAÚDE</t>
  </si>
  <si>
    <t>Contrato nº 82/2024</t>
  </si>
  <si>
    <t>PARTNER SECURITY SERVIÇOS DE SEGURANÇA LTDA</t>
  </si>
  <si>
    <t>12.817.803/0004-65</t>
  </si>
  <si>
    <t>contato@partnersecurity.com.br</t>
  </si>
  <si>
    <t>(11) 98958-6753</t>
  </si>
  <si>
    <t xml:space="preserve">CÂMARA DOS DEPUTADOS </t>
  </si>
  <si>
    <t>Contrato nº 206.0/2024 UASG: 10001</t>
  </si>
  <si>
    <t>VIPPIM SEGURANÇA E VIGILÂNCIA LTDA</t>
  </si>
  <si>
    <t>11.349.160/0001-67</t>
  </si>
  <si>
    <t>operacional@vippim.com.br</t>
  </si>
  <si>
    <t>(61) 3386-8878</t>
  </si>
  <si>
    <t>MINISTÉRIO DA JUSTIÇA - MJSP</t>
  </si>
  <si>
    <t>Contrato nº 06/2025</t>
  </si>
  <si>
    <t>GI - EMPRESA DE SEGURANÇA LTDA</t>
  </si>
  <si>
    <t>MINISTÉRIO DA GESTÃO E INOVAÇÃO</t>
  </si>
  <si>
    <t>Contrato nº 52/2022 (3º Termo Aditivo de Prorrogação) UASG: 170607</t>
  </si>
  <si>
    <t>MINISTÉRIO DA INTEGRAÇÃO E DESENCOLVIMENTO REGIONAL</t>
  </si>
  <si>
    <t>Contrato nº 08/2023 (2º Termo Aditivo de Prorrogação) UASG: 530001</t>
  </si>
  <si>
    <t>EUROSEG VIGILÂNCIA E SEGURANÇA LTDA</t>
  </si>
  <si>
    <t>17.408.690/0001-15</t>
  </si>
  <si>
    <t>departamentocomercial@grupoeuroseg.com.br</t>
  </si>
  <si>
    <t>(61) 3033-5333</t>
  </si>
  <si>
    <t>CASA CIVIL</t>
  </si>
  <si>
    <t>Contrato nº 08/2023 (2º Termo Aditivo de Prorrogação) UASG: 110001</t>
  </si>
  <si>
    <t>EURO SEGURANÇA PRIVADA LTDA</t>
  </si>
  <si>
    <t>04.407.207/0001-36</t>
  </si>
  <si>
    <t>comercial@euroseguranca.com.br</t>
  </si>
  <si>
    <t>(61) 3346-8710</t>
  </si>
  <si>
    <t>MINISTÉRIO DE MINAS E ENERGIA</t>
  </si>
  <si>
    <t>Contrato nº 18/2024</t>
  </si>
  <si>
    <t>AC SEGURANÇA EIRELI</t>
  </si>
  <si>
    <t>09.459.901/0001-10</t>
  </si>
  <si>
    <t>diretoria@acvigilanciadf.com.br</t>
  </si>
  <si>
    <t>(61) 3389-8422</t>
  </si>
  <si>
    <t>MINISTÉRIO DA  CIDADANIA</t>
  </si>
  <si>
    <t>Contrato nº 07/2022 UASG: 550005</t>
  </si>
  <si>
    <t>MINISTÉRIO DO TURISMO</t>
  </si>
  <si>
    <t>Contrato nº 03/2025</t>
  </si>
  <si>
    <t>MINISTÉRIO DA CULTURA</t>
  </si>
  <si>
    <t>Constrato nº 01/2025 UAASG: 420001</t>
  </si>
  <si>
    <t>MINISTÉRIO DO MEIO AMBIENTE E MUDANÇA DO CLIMA</t>
  </si>
  <si>
    <t>Contrato nº 10/2025</t>
  </si>
  <si>
    <t>28.155.065/0001-25</t>
  </si>
  <si>
    <t>sac@lojadacarabina.com.br</t>
  </si>
  <si>
    <t>(51) 3465-8833</t>
  </si>
  <si>
    <t>Amazon Serviços de Varejo do Brasil Ltda</t>
  </si>
  <si>
    <t>15.436.940/0001-03</t>
  </si>
  <si>
    <t>ajuda-amazon@amazon.com.br</t>
  </si>
  <si>
    <t>(11) 4130-2000</t>
  </si>
  <si>
    <t>AUTOMOZ COMERCIAL E DISTRIBUIDORA EIRELI</t>
  </si>
  <si>
    <t>10.399.391/0001-12</t>
  </si>
  <si>
    <t>atendimento@autoequip.com.br</t>
  </si>
  <si>
    <t>(11) 4270-0082</t>
  </si>
  <si>
    <t>Grupo Casas Bahia S.A</t>
  </si>
  <si>
    <t>33.041.260/0652-90</t>
  </si>
  <si>
    <t>setorfiscal.csc@viavarejo.com.br</t>
  </si>
  <si>
    <t>(11) 4225-6431</t>
  </si>
  <si>
    <t>Fmart Variedades LTDA</t>
  </si>
  <si>
    <t>29.766.152/0001-81</t>
  </si>
  <si>
    <t>contato@fmart.com.br</t>
  </si>
  <si>
    <t>(48) 99927-4237</t>
  </si>
  <si>
    <t>MARIANA CAROLINA PANOBIANCO (SAMUEL ELETRÔNICS)</t>
  </si>
  <si>
    <t>21.485.929/0001-28</t>
  </si>
  <si>
    <t>samueletronicos@hotmail.com</t>
  </si>
  <si>
    <t>(18) 99758-6540</t>
  </si>
  <si>
    <t>COURO ART BRASIL</t>
  </si>
  <si>
    <t>09.285.251/0001-34</t>
  </si>
  <si>
    <t>contato@couroart.com.br</t>
  </si>
  <si>
    <t>(11) 2989-6270</t>
  </si>
  <si>
    <t>Warfare Industria e Comercio de Artigos Militares Ltda ME</t>
  </si>
  <si>
    <t>07.929.707/0001-26</t>
  </si>
  <si>
    <t>financeiro@warfare.com.br</t>
  </si>
  <si>
    <t>(47) 3322-7456</t>
  </si>
  <si>
    <t>ITEM 7</t>
  </si>
  <si>
    <t>ITEM 8</t>
  </si>
  <si>
    <t>ITEM 9</t>
  </si>
  <si>
    <t>ITEM 10</t>
  </si>
  <si>
    <t>GB ESPORTES E SERVIÇOS ADMINISTRATIVOS EIRELI</t>
  </si>
  <si>
    <t>MV INDUSTRIA E COMERCIO DE ARTIGOS ESPORTIVOS LTDA</t>
  </si>
  <si>
    <t>Social confeccionada em tecido 100% algodão, abotoamento frontal, mangas compridas com punho simples, bolso na parte superior do lado esquerdo, sobreposto</t>
  </si>
  <si>
    <t>Social em couro, na cor preta.</t>
  </si>
  <si>
    <t>Social na cor preta.</t>
  </si>
  <si>
    <t>Manga curta Gandola Rip Stop Manga Curta.</t>
  </si>
  <si>
    <t>Tecido RIP-STOP, na cor preta, com zíper, cós anatômico, dois bolsos cargos inclinados, costuras triplas nas áreas de maior atrito.</t>
  </si>
  <si>
    <t>Tecido nylon, com espessura larga de 3,4 cm, na cor preto, fivela em polímero preto composta por travas de metal articuladas em seu interior, com guarra regulável de primeira qualidade.</t>
  </si>
  <si>
    <t>Cano alto, na cor preto, composta por algodão, de primeira qualidade</t>
  </si>
  <si>
    <t>VALOR TOTAL ANUAL DOS ITENS -&gt;</t>
  </si>
  <si>
    <t>VALOR TOTAL MENSAL DOS ITENS -&gt;</t>
  </si>
  <si>
    <t>VALOR TOTAL ANUAL -&gt;</t>
  </si>
  <si>
    <t>VALOR TOTAL MENSAL -&gt;</t>
  </si>
  <si>
    <t>VALOR TOTAL ANUAL DO UNIFORME OPERACIONAL -&gt;</t>
  </si>
  <si>
    <t>VALOR TOTAL MENSAL DO UNIFORME OPERACIONAL -&gt;</t>
  </si>
  <si>
    <t>Equipamentos - Vigilância Armada</t>
  </si>
  <si>
    <t>EQUIPAMENTOS - VIGILÂNCIA ARMADA</t>
  </si>
  <si>
    <r>
      <rPr>
        <b/>
        <sz val="11"/>
        <color indexed="8"/>
        <rFont val="Calibri"/>
        <family val="2"/>
        <scheme val="minor"/>
      </rPr>
      <t>Objeto: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Prestação de Serviços de Vigilância no âmbito do Ministério dos Transportes</t>
    </r>
  </si>
  <si>
    <t>VALOR TOTAL MENSAL DOS ITENS DIVIDIDO PELA QUANTIDADE DE VIGILANTES OPERACIONAIS -&gt;</t>
  </si>
  <si>
    <r>
      <rPr>
        <b/>
        <sz val="11"/>
        <color indexed="8"/>
        <rFont val="Calibri"/>
        <family val="2"/>
        <scheme val="minor"/>
      </rPr>
      <t xml:space="preserve">MINISTÉRIO DOS TRANSPORTES
</t>
    </r>
    <r>
      <rPr>
        <sz val="11"/>
        <rFont val="Calibri"/>
        <family val="2"/>
        <scheme val="minor"/>
      </rPr>
      <t>SE / SPOA / COGLC
Divisão de Licitação e Compras - DILIC
Serviço de Compras Diretas e Pesquisa de Preços - SECOP</t>
    </r>
  </si>
  <si>
    <t>Apito com codrinha</t>
  </si>
  <si>
    <t>Peça</t>
  </si>
  <si>
    <t>Descrição do Uniforme</t>
  </si>
  <si>
    <t>Qtd. Inicial</t>
  </si>
  <si>
    <t>Qtd. Anual</t>
  </si>
  <si>
    <t>Valor Médio Unitário</t>
  </si>
  <si>
    <t>Valor Médio Total</t>
  </si>
  <si>
    <t>Vida Útil
(meses)</t>
  </si>
  <si>
    <t>Valor Total Anual</t>
  </si>
  <si>
    <t>Descrição dos Equipamentos</t>
  </si>
  <si>
    <t>Descrição dos Materiais</t>
  </si>
  <si>
    <t>Quantidade (Edifícios)</t>
  </si>
  <si>
    <t>Periodicidade p/ Reposição</t>
  </si>
  <si>
    <t>Qtd. p/ cada Reposição</t>
  </si>
  <si>
    <t>6 meses</t>
  </si>
  <si>
    <t>Unidade Forn.</t>
  </si>
  <si>
    <t>Hora Reduzida</t>
  </si>
  <si>
    <t>Colete Tático balístico</t>
  </si>
  <si>
    <t>Placa Balística nível mínimo de Segurança IIA</t>
  </si>
  <si>
    <t>Coldre axilar completo, para uso com terno</t>
  </si>
  <si>
    <t>Cinto de guarnição tática com coldre de perna, sendo  o tamanho de acordo com a arma a ser fornecida</t>
  </si>
  <si>
    <t>Em couro nobuk hidrofugado, tecido sintético, colarinho e língua em couro, com cadarço, vestuário com cordura água repelente, em tecido poliéster 100% impermeável, cor preta. Forração Interna com rápida dispersão de umidade. Solado plano em borracha e plataforma de EVA, com isolamento térmico e elétrico e com certificado de aprovação do Ministério do Trabalho e do Empregado (C.A)</t>
  </si>
  <si>
    <t xml:space="preserve"> Lojao dos Esportes LTDA</t>
  </si>
  <si>
    <t>51.729.127/0001-87</t>
  </si>
  <si>
    <t>financeiro@lojaodosesportes.com.br</t>
  </si>
  <si>
    <t>(11) 3217-4777</t>
  </si>
  <si>
    <t xml:space="preserve"> Guanaco Participacoes LTDA</t>
  </si>
  <si>
    <t>18.471.962/0001-94</t>
  </si>
  <si>
    <t>c.michelan@incompanny.com.br</t>
  </si>
  <si>
    <t>(11) 5082-3900</t>
  </si>
  <si>
    <t>Planeta Pedagogico Erivaldo Antonio Ramalho</t>
  </si>
  <si>
    <t>16.633.161/0001-52</t>
  </si>
  <si>
    <t>cristina.costa@nelsonfolador.com.br</t>
  </si>
  <si>
    <t>(41) 3232-9373</t>
  </si>
  <si>
    <t>Magazine Luiza S/A</t>
  </si>
  <si>
    <t>47.960.950/0001-21</t>
  </si>
  <si>
    <t>fiscal.estadual@magazineluiza.com.br</t>
  </si>
  <si>
    <t>(16) 3711-2002</t>
  </si>
  <si>
    <t>Distribuidora Ahead de Mercadorias e Servicos em Geral LTDA</t>
  </si>
  <si>
    <t>22.960.400/0001-81</t>
  </si>
  <si>
    <t>sac@aheadsports.com.br</t>
  </si>
  <si>
    <t>(11) 3502-6600</t>
  </si>
  <si>
    <t>Vigilante Shop Vgs Brasil Comercio de Produto de Seguranca LTDA</t>
  </si>
  <si>
    <t>29.301.407/0001-30</t>
  </si>
  <si>
    <t>a3-contabilidade@hotmail.com</t>
  </si>
  <si>
    <t>(45) 3028-2803</t>
  </si>
  <si>
    <t>WARFARE TATICAL</t>
  </si>
  <si>
    <t>28.039.153/0001-61</t>
  </si>
  <si>
    <t>marketing@warfare.com.br</t>
  </si>
  <si>
    <t>EVO SISTEMAS INTELIGENTES LTDA</t>
  </si>
  <si>
    <t>44.880.091/0001-72</t>
  </si>
  <si>
    <t>contato@evotactical.com.br</t>
  </si>
  <si>
    <t>(41) 3147-0086</t>
  </si>
  <si>
    <t>RICHTER EQUIPAMENTOS DE SEGURANCA E COMERCIO</t>
  </si>
  <si>
    <t>23.634.004/0001-27</t>
  </si>
  <si>
    <t>sac@richtertaticos.com.br</t>
  </si>
  <si>
    <t>(31) 9 9971-4242</t>
  </si>
  <si>
    <t xml:space="preserve">Desert Coldres Confeccoes LTDA </t>
  </si>
  <si>
    <t>14.500.879/0001-45</t>
  </si>
  <si>
    <t xml:space="preserve"> desertcoldres@hotmail.com</t>
  </si>
  <si>
    <t>(82) 98834-5038</t>
  </si>
  <si>
    <t>ITEM 6
(CINTO)</t>
  </si>
  <si>
    <t>ITEM 6
(COLDRE)</t>
  </si>
  <si>
    <t>Coldres Bélica</t>
  </si>
  <si>
    <t>40.807.222/0001-35</t>
  </si>
  <si>
    <t>atendimentovarejo@belicamilitar.com.Br</t>
  </si>
  <si>
    <t>(47) 3333-1759</t>
  </si>
  <si>
    <t>Ja Rio Militar Jc Carvalho LTDA</t>
  </si>
  <si>
    <t>14.114.604/0001-73</t>
  </si>
  <si>
    <t>admin@jariomilitar.com.br</t>
  </si>
  <si>
    <t>(21) 3449-9000</t>
  </si>
  <si>
    <t>Bear Tactical Artigos Esportivos Ltda</t>
  </si>
  <si>
    <t>00.274.331/0001-10</t>
  </si>
  <si>
    <t>sac@beartac.com.br</t>
  </si>
  <si>
    <t>(41) 9281-3833</t>
  </si>
  <si>
    <t>Montese Ltda</t>
  </si>
  <si>
    <t>25.434.062/0001-32</t>
  </si>
  <si>
    <t>atendimento@montese.net</t>
  </si>
  <si>
    <t>(48) 99922-9552</t>
  </si>
  <si>
    <t>Tactical War Militaria e Airsoft LTDA</t>
  </si>
  <si>
    <t>30.129.237/0001-38</t>
  </si>
  <si>
    <t>contato@tacticalwal.com.br</t>
  </si>
  <si>
    <t>(46) 99970-4397</t>
  </si>
  <si>
    <t>WTC STORE</t>
  </si>
  <si>
    <t>51.856.986/0001-37</t>
  </si>
  <si>
    <t>vendas3@wtcstore.com.br</t>
  </si>
  <si>
    <t>(85) 99995-4095</t>
  </si>
  <si>
    <t>COMANFY</t>
  </si>
  <si>
    <t>18.452.941/0001-21</t>
  </si>
  <si>
    <t>contatopolice@gmail.com</t>
  </si>
  <si>
    <t>(85) 99637-3005</t>
  </si>
  <si>
    <t>LOJA WWART</t>
  </si>
  <si>
    <t>31.905.587/0001-01</t>
  </si>
  <si>
    <t>contato@lojawwart.com.br</t>
  </si>
  <si>
    <t>(21) 3496-4852</t>
  </si>
  <si>
    <t>Bazar Militar Raphaela da Silveira Carneiro</t>
  </si>
  <si>
    <t>24.228.230/0001-70</t>
  </si>
  <si>
    <t>bazarmilitaram@yahoo.com.br</t>
  </si>
  <si>
    <t>(92) 3347-9167</t>
  </si>
  <si>
    <t>Ponto de Impacto Artigos Militares LTDA</t>
  </si>
  <si>
    <t>11.360.149/0001-06</t>
  </si>
  <si>
    <t>macini@linkway.com.br</t>
  </si>
  <si>
    <t>(19) 3561-1400</t>
  </si>
  <si>
    <t>ITEM 11</t>
  </si>
  <si>
    <t>Crh Equipamentos de Seguranca LTDA</t>
  </si>
  <si>
    <t>14.566.765/0001-06</t>
  </si>
  <si>
    <t>comercial@crhequipamentos.com.br</t>
  </si>
  <si>
    <t>(11) 2381-6263</t>
  </si>
  <si>
    <t>Irontex Textil Confeccao e Comercio de Malhas LTDA</t>
  </si>
  <si>
    <t>13.499.052/0001-04</t>
  </si>
  <si>
    <t xml:space="preserve"> irontex@irontex.com.Br</t>
  </si>
  <si>
    <t>(11) 4555-8800</t>
  </si>
  <si>
    <t>NORDENS</t>
  </si>
  <si>
    <t>16.779.314/0001-74</t>
  </si>
  <si>
    <t>comercial@nordens.com.br</t>
  </si>
  <si>
    <t>(51) 3748-1120</t>
  </si>
  <si>
    <t xml:space="preserve">Az de Espadas Az Sjp Artigos Taticos e Esportivos LTDA </t>
  </si>
  <si>
    <t>31.459.867/0001-33</t>
  </si>
  <si>
    <t xml:space="preserve"> luane@azdeespadas.com.br</t>
  </si>
  <si>
    <t>(41) 99107-6135</t>
  </si>
  <si>
    <t>Phoenix Industria e Comercio LTDA</t>
  </si>
  <si>
    <t>38.082.257/0001-02</t>
  </si>
  <si>
    <t xml:space="preserve"> joao.henriquee@hotmail.com</t>
  </si>
  <si>
    <t>(31) 99705-5050</t>
  </si>
  <si>
    <t>RIBA BRASIL INDUSTRIA E COMERCIO S.A.</t>
  </si>
  <si>
    <t>04.900.151/0001-57</t>
  </si>
  <si>
    <t>comercialribashop@gmail.com</t>
  </si>
  <si>
    <t>(13) 97417-5003</t>
  </si>
  <si>
    <t>Vertical do Ponto Industria e com de Para Quedas LTDA</t>
  </si>
  <si>
    <t>36.111.755/0001-00</t>
  </si>
  <si>
    <t>verticaldoponto@verticaldoponto.com.br</t>
  </si>
  <si>
    <t>(21) 2457-4378</t>
  </si>
  <si>
    <t>Falcon - Comercio de Artigos Esportivos LTDA</t>
  </si>
  <si>
    <t>02.953.048/0001-40</t>
  </si>
  <si>
    <t>falconarmas@hotmail.com</t>
  </si>
  <si>
    <t>(41) 3015-3222</t>
  </si>
  <si>
    <t>CORDOVA SCHRAMM COMERCIO DE COLDRES E ACESSORIOS LTDA</t>
  </si>
  <si>
    <t>39.847.418/0001-74</t>
  </si>
  <si>
    <t>srcoldres@gmail.com</t>
  </si>
  <si>
    <t>(12) 98252-5182</t>
  </si>
  <si>
    <t>ITEM 13</t>
  </si>
  <si>
    <t>ITEM 12</t>
  </si>
  <si>
    <t>EQUIP.</t>
  </si>
  <si>
    <t>Sindesv-DF 2025/2025</t>
  </si>
  <si>
    <t>Cor preta, tecido nylon, resinada, forrada com manta acrílica, emblema da empresa  bordados na parte externa do bolso e nas mangas da jaqueta</t>
  </si>
  <si>
    <t>EQUIPAMENTOS - VIGILÂNCIA ARMADA E DESARMADA</t>
  </si>
  <si>
    <t>Equipamentos - Vigilância Armada e Desarmada</t>
  </si>
  <si>
    <t>Adicional de Horário Noturno (20%)</t>
  </si>
  <si>
    <t>VALOR TOTAL MENSAL DOS ITENS DIVIDIDO PELA QUANTIDADE TOTAL DE VIGILANTES -&gt;</t>
  </si>
  <si>
    <t>VALOR TOTAL MENSAL DOS ITENS DIVIDIDO PELA QUANTIDADE DE VIGILANTES ARMADOS -&gt;</t>
  </si>
  <si>
    <t>Uniforme Social*</t>
  </si>
  <si>
    <t>Seguro de Vida Coletivo</t>
  </si>
  <si>
    <t>Uniforme Operacional*</t>
  </si>
  <si>
    <t>* A estimativa de valor dos uniformes social e operacional para os postos de vigiância se deu de forma proporcional à quantidade de funcionários que demandarão a utilização dos mesmos.</t>
  </si>
  <si>
    <t>Operador
de Sistema Eletrônico
Diurno
Seg. a sex. - 12x36h</t>
  </si>
  <si>
    <t>Valor unitário mensal do Posto (C = AxB)</t>
  </si>
  <si>
    <t>Uniforme Social</t>
  </si>
  <si>
    <t>Uniforme Operacional</t>
  </si>
  <si>
    <t>Terno ou Terninho</t>
  </si>
  <si>
    <t>Sapato ou Scarpin</t>
  </si>
  <si>
    <t>Total de Uniformes</t>
  </si>
  <si>
    <t>Valor Médio do Uniforme</t>
  </si>
  <si>
    <t xml:space="preserve">Valor Unitário </t>
  </si>
  <si>
    <t xml:space="preserve">Valor Total </t>
  </si>
  <si>
    <t>% desc.</t>
  </si>
  <si>
    <t>Uniforme Social Feminino ou Masculino</t>
  </si>
  <si>
    <r>
      <rPr>
        <b/>
        <sz val="11"/>
        <color theme="1"/>
        <rFont val="Calibri"/>
        <family val="2"/>
        <scheme val="minor"/>
      </rPr>
      <t>Terno</t>
    </r>
    <r>
      <rPr>
        <sz val="11"/>
        <color theme="1"/>
        <rFont val="Calibri"/>
        <family val="2"/>
        <scheme val="minor"/>
      </rPr>
      <t xml:space="preserve">: Na cor preta, tecido de boa qualidade, com viscose, forrado internamente, inclusive nas mangas. Calça modelo social, tecido e cor idênticos aos do terninho, braguilha forrada, cós entretelado, forrado, com passadores no mesmo tecido da calça, 2 bolsos laterais embutidos, 2 bolsos traseiros embutidos, com uma casa vertical e um botão. (Sob medida em boa qualidade). 
</t>
    </r>
    <r>
      <rPr>
        <b/>
        <sz val="11"/>
        <color theme="1"/>
        <rFont val="Calibri"/>
        <family val="2"/>
        <scheme val="minor"/>
      </rPr>
      <t>Terninho:</t>
    </r>
    <r>
      <rPr>
        <sz val="11"/>
        <color theme="1"/>
        <rFont val="Calibri"/>
        <family val="2"/>
        <scheme val="minor"/>
      </rPr>
      <t xml:space="preserve"> Na cor preta, tecido de boa qualidade, com viscose, forrado internamente, inclusive nas mangas. Calça modelo social, tecido e cor idênticos aos do terninho, braguilha forrada, cós entretelado, forrado, com passadores no mesmo tecido da calça, 2 bolsos laterais embutidos, 2 bolsos traseiros embutidos, com uma casa vertical e um botão. (Sob medida em boa qualidade).</t>
    </r>
  </si>
  <si>
    <r>
      <rPr>
        <b/>
        <sz val="11"/>
        <color theme="1"/>
        <rFont val="Calibri"/>
        <family val="2"/>
        <scheme val="minor"/>
      </rPr>
      <t>Sapato:</t>
    </r>
    <r>
      <rPr>
        <sz val="11"/>
        <color theme="1"/>
        <rFont val="Calibri"/>
        <family val="2"/>
        <scheme val="minor"/>
      </rPr>
      <t xml:space="preserve"> Social em couro, ortopédico, na cor preto, solado antiderrapante, com absorção de impacto, palmilha acolchoada, que não se deforma. 
</t>
    </r>
    <r>
      <rPr>
        <b/>
        <sz val="11"/>
        <color theme="1"/>
        <rFont val="Calibri"/>
        <family val="2"/>
        <scheme val="minor"/>
      </rPr>
      <t xml:space="preserve">Scarpin: </t>
    </r>
    <r>
      <rPr>
        <sz val="11"/>
        <color theme="1"/>
        <rFont val="Calibri"/>
        <family val="2"/>
        <scheme val="minor"/>
      </rPr>
      <t>Em couro, salto quadrado, na cor preta.</t>
    </r>
  </si>
  <si>
    <t xml:space="preserve">Gravata ou Lenço </t>
  </si>
  <si>
    <r>
      <rPr>
        <b/>
        <sz val="11"/>
        <color theme="1"/>
        <rFont val="Calibri"/>
        <family val="2"/>
        <scheme val="minor"/>
      </rPr>
      <t>Gravata:</t>
    </r>
    <r>
      <rPr>
        <sz val="11"/>
        <color theme="1"/>
        <rFont val="Calibri"/>
        <family val="2"/>
        <scheme val="minor"/>
      </rPr>
      <t xml:space="preserve"> Modelo social vertical slim, confeccionada em Jacquard, forrada em nylon, acabamento de primeira qualidade. 
</t>
    </r>
    <r>
      <rPr>
        <b/>
        <sz val="11"/>
        <color theme="1"/>
        <rFont val="Calibri"/>
        <family val="2"/>
        <scheme val="minor"/>
      </rPr>
      <t>Lenço:</t>
    </r>
    <r>
      <rPr>
        <sz val="11"/>
        <color theme="1"/>
        <rFont val="Calibri"/>
        <family val="2"/>
        <scheme val="minor"/>
      </rPr>
      <t xml:space="preserve"> Tecido liso, cor preto, em crepe, tipo laço com entretela compatível com o modelo.</t>
    </r>
  </si>
  <si>
    <t>Qtd. Postos</t>
  </si>
  <si>
    <t>Qtd. Profissionais por Posto</t>
  </si>
  <si>
    <t xml:space="preserve">Qtd. Total Funcionários </t>
  </si>
  <si>
    <t>Valor  Unitário anual do Posto
(D = C x 12)</t>
  </si>
  <si>
    <t>Valor Total Anual 
(F = D x E)</t>
  </si>
  <si>
    <t>Valor do Posto
(A)</t>
  </si>
  <si>
    <t>Qtd. de Postos
(E)</t>
  </si>
  <si>
    <t xml:space="preserve">Qtd. Total de Funcionários </t>
  </si>
  <si>
    <t>* Verificar a planilha de relação de uniformes sociais e operacionais por posto, ao lado</t>
  </si>
  <si>
    <t>RELAÇÃO DE UNIFORMES SOCIAIS E OPERACIONAIS POR POSTO DE TRABALHO - TERMO DE REFERÊNCIA 126/2025, pág. 11 e 12</t>
  </si>
  <si>
    <r>
      <t xml:space="preserve">Data: </t>
    </r>
    <r>
      <rPr>
        <sz val="11"/>
        <rFont val="Calibri"/>
        <family val="2"/>
        <scheme val="minor"/>
      </rPr>
      <t>06/10/2025</t>
    </r>
  </si>
  <si>
    <t>Qtd. de profissionais Por Posto
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</si>
</sst>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&quot;R$&quot;* #,##0.00_);_(&quot;R$&quot;* \(#,##0.00\);_(&quot;R$&quot;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1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9" fontId="2" fillId="4" borderId="1" xfId="3" applyFont="1" applyFill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44" fontId="0" fillId="0" borderId="7" xfId="1" applyFont="1" applyFill="1" applyBorder="1" applyAlignment="1">
      <alignment horizontal="center" vertical="center" wrapText="1"/>
    </xf>
    <xf numFmtId="9" fontId="2" fillId="0" borderId="1" xfId="3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0" fontId="2" fillId="4" borderId="9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9" fontId="2" fillId="0" borderId="1" xfId="3" applyFont="1" applyBorder="1" applyAlignment="1">
      <alignment vertical="center" wrapText="1"/>
    </xf>
    <xf numFmtId="9" fontId="0" fillId="0" borderId="1" xfId="3" applyFont="1" applyBorder="1" applyAlignment="1">
      <alignment vertical="center" wrapText="1"/>
    </xf>
    <xf numFmtId="164" fontId="3" fillId="5" borderId="1" xfId="2" applyNumberFormat="1" applyFont="1" applyFill="1" applyBorder="1" applyAlignment="1">
      <alignment horizontal="center" vertical="center" wrapText="1"/>
    </xf>
    <xf numFmtId="9" fontId="0" fillId="0" borderId="0" xfId="3" applyFont="1" applyBorder="1" applyAlignment="1">
      <alignment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9" fontId="0" fillId="0" borderId="9" xfId="3" applyFont="1" applyBorder="1" applyAlignment="1">
      <alignment horizontal="center" vertical="center" wrapText="1"/>
    </xf>
    <xf numFmtId="10" fontId="0" fillId="0" borderId="1" xfId="3" applyNumberFormat="1" applyFont="1" applyFill="1" applyBorder="1" applyAlignment="1">
      <alignment horizontal="center" vertical="center" wrapText="1"/>
    </xf>
    <xf numFmtId="10" fontId="0" fillId="0" borderId="1" xfId="3" applyNumberFormat="1" applyFont="1" applyBorder="1" applyAlignment="1">
      <alignment horizontal="center" vertical="center" wrapText="1"/>
    </xf>
    <xf numFmtId="10" fontId="2" fillId="4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0" fontId="2" fillId="0" borderId="0" xfId="0" applyNumberFormat="1" applyFont="1" applyAlignment="1">
      <alignment horizontal="center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10" fontId="2" fillId="0" borderId="7" xfId="0" applyNumberFormat="1" applyFont="1" applyBorder="1" applyAlignment="1">
      <alignment horizontal="center" vertical="center" wrapText="1"/>
    </xf>
    <xf numFmtId="10" fontId="2" fillId="2" borderId="0" xfId="0" applyNumberFormat="1" applyFont="1" applyFill="1" applyAlignment="1">
      <alignment horizontal="center" vertical="center" wrapText="1"/>
    </xf>
    <xf numFmtId="9" fontId="0" fillId="0" borderId="0" xfId="3" applyFont="1" applyAlignment="1">
      <alignment vertical="center" wrapText="1"/>
    </xf>
    <xf numFmtId="44" fontId="0" fillId="0" borderId="0" xfId="1" applyFont="1" applyAlignment="1">
      <alignment vertical="center"/>
    </xf>
    <xf numFmtId="44" fontId="0" fillId="0" borderId="0" xfId="1" applyFont="1" applyAlignment="1">
      <alignment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4" fillId="4" borderId="1" xfId="1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/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5" borderId="1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44" fontId="0" fillId="0" borderId="1" xfId="6" applyFont="1" applyBorder="1" applyAlignment="1">
      <alignment horizontal="center" vertical="center"/>
    </xf>
    <xf numFmtId="44" fontId="0" fillId="0" borderId="1" xfId="1" applyFont="1" applyBorder="1" applyAlignment="1">
      <alignment vertical="center"/>
    </xf>
    <xf numFmtId="0" fontId="0" fillId="0" borderId="1" xfId="1" applyNumberFormat="1" applyFont="1" applyBorder="1" applyAlignment="1">
      <alignment vertical="center"/>
    </xf>
    <xf numFmtId="44" fontId="2" fillId="5" borderId="1" xfId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44" fontId="0" fillId="0" borderId="1" xfId="6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0" fillId="2" borderId="1" xfId="6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44" fontId="0" fillId="2" borderId="1" xfId="1" applyFont="1" applyFill="1" applyBorder="1" applyAlignment="1">
      <alignment vertical="center"/>
    </xf>
    <xf numFmtId="44" fontId="0" fillId="0" borderId="1" xfId="6" applyFont="1" applyBorder="1" applyAlignment="1">
      <alignment horizontal="left" vertical="center"/>
    </xf>
    <xf numFmtId="44" fontId="0" fillId="0" borderId="1" xfId="1" applyFont="1" applyFill="1" applyBorder="1" applyAlignment="1">
      <alignment vertical="center"/>
    </xf>
    <xf numFmtId="44" fontId="0" fillId="0" borderId="1" xfId="1" applyFont="1" applyFill="1" applyBorder="1" applyAlignment="1">
      <alignment vertical="center" wrapText="1"/>
    </xf>
    <xf numFmtId="0" fontId="0" fillId="2" borderId="1" xfId="1" applyNumberFormat="1" applyFont="1" applyFill="1" applyBorder="1" applyAlignment="1">
      <alignment horizontal="left" vertical="center"/>
    </xf>
    <xf numFmtId="44" fontId="2" fillId="7" borderId="7" xfId="1" applyFont="1" applyFill="1" applyBorder="1" applyAlignment="1">
      <alignment vertical="center"/>
    </xf>
    <xf numFmtId="44" fontId="2" fillId="7" borderId="1" xfId="1" applyFont="1" applyFill="1" applyBorder="1" applyAlignment="1">
      <alignment vertical="center"/>
    </xf>
    <xf numFmtId="44" fontId="0" fillId="0" borderId="0" xfId="1" applyFont="1" applyBorder="1" applyAlignment="1">
      <alignment vertical="center"/>
    </xf>
    <xf numFmtId="1" fontId="0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0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4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0" fontId="0" fillId="0" borderId="7" xfId="0" applyNumberForma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64" fontId="0" fillId="2" borderId="9" xfId="0" applyNumberForma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9" fontId="0" fillId="0" borderId="1" xfId="0" applyNumberFormat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10" fontId="0" fillId="4" borderId="1" xfId="0" applyNumberForma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9" fontId="0" fillId="0" borderId="7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0" fontId="0" fillId="0" borderId="9" xfId="0" applyNumberForma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44" fontId="0" fillId="0" borderId="0" xfId="0" applyNumberFormat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justify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justify" vertical="center"/>
    </xf>
    <xf numFmtId="44" fontId="0" fillId="0" borderId="1" xfId="0" applyNumberFormat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0" fillId="2" borderId="1" xfId="7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4" fontId="10" fillId="0" borderId="1" xfId="7" applyNumberFormat="1" applyBorder="1" applyAlignment="1">
      <alignment horizontal="center" vertical="center"/>
    </xf>
    <xf numFmtId="0" fontId="10" fillId="0" borderId="1" xfId="7" applyFill="1" applyBorder="1" applyAlignment="1">
      <alignment horizontal="center" vertical="center"/>
    </xf>
    <xf numFmtId="0" fontId="10" fillId="2" borderId="1" xfId="7" applyNumberFormat="1" applyFill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vertical="center" wrapText="1"/>
    </xf>
    <xf numFmtId="9" fontId="0" fillId="0" borderId="1" xfId="3" applyFont="1" applyFill="1" applyBorder="1" applyAlignment="1">
      <alignment vertical="center" wrapText="1"/>
    </xf>
    <xf numFmtId="166" fontId="0" fillId="0" borderId="1" xfId="3" applyNumberFormat="1" applyFont="1" applyFill="1" applyBorder="1" applyAlignment="1">
      <alignment horizontal="center" vertical="center" wrapText="1"/>
    </xf>
    <xf numFmtId="44" fontId="0" fillId="0" borderId="0" xfId="0" applyNumberFormat="1" applyAlignment="1">
      <alignment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4" fontId="0" fillId="0" borderId="1" xfId="12" applyFont="1" applyFill="1" applyBorder="1" applyAlignment="1">
      <alignment horizontal="center" vertical="center"/>
    </xf>
    <xf numFmtId="44" fontId="0" fillId="0" borderId="1" xfId="12" applyFont="1" applyBorder="1" applyAlignment="1">
      <alignment horizontal="center" vertical="center"/>
    </xf>
    <xf numFmtId="44" fontId="0" fillId="2" borderId="1" xfId="9" applyFont="1" applyFill="1" applyBorder="1" applyAlignment="1">
      <alignment horizontal="left" vertical="center"/>
    </xf>
    <xf numFmtId="44" fontId="0" fillId="0" borderId="1" xfId="9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4" fillId="7" borderId="9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44" fontId="3" fillId="0" borderId="1" xfId="12" applyFont="1" applyBorder="1" applyAlignment="1">
      <alignment horizontal="center" vertical="center"/>
    </xf>
    <xf numFmtId="44" fontId="4" fillId="7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0" fillId="2" borderId="7" xfId="0" applyNumberFormat="1" applyFill="1" applyBorder="1" applyAlignment="1">
      <alignment horizontal="center" vertical="center" wrapText="1"/>
    </xf>
    <xf numFmtId="164" fontId="0" fillId="2" borderId="9" xfId="0" applyNumberForma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3" fillId="0" borderId="7" xfId="12" applyNumberFormat="1" applyFont="1" applyFill="1" applyBorder="1" applyAlignment="1">
      <alignment horizontal="center" vertical="center" wrapText="1"/>
    </xf>
    <xf numFmtId="164" fontId="3" fillId="0" borderId="13" xfId="12" applyNumberFormat="1" applyFont="1" applyFill="1" applyBorder="1" applyAlignment="1">
      <alignment horizontal="center" vertical="center" wrapText="1"/>
    </xf>
    <xf numFmtId="164" fontId="3" fillId="0" borderId="9" xfId="12" applyNumberFormat="1" applyFont="1" applyFill="1" applyBorder="1" applyAlignment="1">
      <alignment horizontal="center" vertical="center" wrapText="1"/>
    </xf>
    <xf numFmtId="44" fontId="3" fillId="0" borderId="7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right" vertical="center"/>
    </xf>
    <xf numFmtId="0" fontId="2" fillId="5" borderId="3" xfId="0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4" fontId="0" fillId="0" borderId="7" xfId="0" applyNumberForma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1" fontId="0" fillId="0" borderId="7" xfId="1" applyNumberFormat="1" applyFont="1" applyFill="1" applyBorder="1" applyAlignment="1">
      <alignment horizontal="center" vertical="center"/>
    </xf>
    <xf numFmtId="1" fontId="0" fillId="0" borderId="9" xfId="1" applyNumberFormat="1" applyFont="1" applyFill="1" applyBorder="1" applyAlignment="1">
      <alignment horizontal="center" vertical="center"/>
    </xf>
    <xf numFmtId="44" fontId="0" fillId="0" borderId="7" xfId="1" applyFont="1" applyFill="1" applyBorder="1" applyAlignment="1">
      <alignment horizontal="center" vertical="center"/>
    </xf>
    <xf numFmtId="44" fontId="0" fillId="0" borderId="9" xfId="1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textRotation="90"/>
    </xf>
    <xf numFmtId="0" fontId="2" fillId="4" borderId="14" xfId="0" applyFont="1" applyFill="1" applyBorder="1" applyAlignment="1">
      <alignment horizontal="center" vertical="center" textRotation="90"/>
    </xf>
    <xf numFmtId="0" fontId="2" fillId="4" borderId="1" xfId="0" applyFont="1" applyFill="1" applyBorder="1" applyAlignment="1">
      <alignment horizontal="left" vertical="center"/>
    </xf>
    <xf numFmtId="44" fontId="2" fillId="4" borderId="1" xfId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</cellXfs>
  <cellStyles count="14">
    <cellStyle name="Hiperlink" xfId="7" builtinId="8"/>
    <cellStyle name="Moeda" xfId="1" builtinId="4"/>
    <cellStyle name="Moeda 2" xfId="5" xr:uid="{CF72B7AB-5E9A-49F1-8435-8AA2813487F2}"/>
    <cellStyle name="Moeda 2 2" xfId="11" xr:uid="{93E257CD-F315-4534-AEBC-5CC625685A97}"/>
    <cellStyle name="Moeda 3" xfId="6" xr:uid="{366B78C0-DC89-4EAD-9A54-FDD9A784E37C}"/>
    <cellStyle name="Moeda 3 2" xfId="12" xr:uid="{8A579515-2E8D-400F-B285-5D7C7C98DC25}"/>
    <cellStyle name="Moeda 4" xfId="9" xr:uid="{1A0398C2-E573-403C-BF7E-E7D36F3896E2}"/>
    <cellStyle name="Normal" xfId="0" builtinId="0"/>
    <cellStyle name="Normal 2" xfId="4" xr:uid="{1DFE4AD8-BB2B-4D4E-9CB1-11A9A286ED9B}"/>
    <cellStyle name="Porcentagem" xfId="3" builtinId="5"/>
    <cellStyle name="Vírgula" xfId="2" builtinId="3"/>
    <cellStyle name="Vírgula 2" xfId="8" xr:uid="{F1D4E579-D923-48C0-9AA0-11CD18694452}"/>
    <cellStyle name="Vírgula 2 2" xfId="13" xr:uid="{6C9F8745-943F-4748-88FC-928387396781}"/>
    <cellStyle name="Vírgula 3" xfId="10" xr:uid="{78D9F136-9AE1-4E98-A121-CA020CC390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32807</xdr:colOff>
      <xdr:row>0</xdr:row>
      <xdr:rowOff>52918</xdr:rowOff>
    </xdr:from>
    <xdr:to>
      <xdr:col>3</xdr:col>
      <xdr:colOff>22946</xdr:colOff>
      <xdr:row>0</xdr:row>
      <xdr:rowOff>963083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E4B32FD4-B885-44A0-907B-C7AA2246DD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842" r="24387"/>
        <a:stretch>
          <a:fillRect/>
        </a:stretch>
      </xdr:blipFill>
      <xdr:spPr bwMode="auto">
        <a:xfrm>
          <a:off x="233890" y="52918"/>
          <a:ext cx="774364" cy="910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mailto:luceliadi@gmail.com" TargetMode="External"/><Relationship Id="rId21" Type="http://schemas.openxmlformats.org/officeDocument/2006/relationships/hyperlink" Target="mailto:faleconosco@lojasrenner.com.br" TargetMode="External"/><Relationship Id="rId42" Type="http://schemas.openxmlformats.org/officeDocument/2006/relationships/hyperlink" Target="mailto:afaindustria.licitacao@gmail.com" TargetMode="External"/><Relationship Id="rId47" Type="http://schemas.openxmlformats.org/officeDocument/2006/relationships/hyperlink" Target="mailto:wpptconfeccoes@gmail.com" TargetMode="External"/><Relationship Id="rId63" Type="http://schemas.openxmlformats.org/officeDocument/2006/relationships/hyperlink" Target="mailto:kevinhenrique094@gmail.com" TargetMode="External"/><Relationship Id="rId68" Type="http://schemas.openxmlformats.org/officeDocument/2006/relationships/hyperlink" Target="mailto:fiscal.estadual@magazineluiza.com.br" TargetMode="External"/><Relationship Id="rId84" Type="http://schemas.openxmlformats.org/officeDocument/2006/relationships/hyperlink" Target="mailto:vendas3@wtcstore.com.br" TargetMode="External"/><Relationship Id="rId89" Type="http://schemas.openxmlformats.org/officeDocument/2006/relationships/hyperlink" Target="mailto:comercial@crhequipamentos.com.br" TargetMode="External"/><Relationship Id="rId16" Type="http://schemas.openxmlformats.org/officeDocument/2006/relationships/hyperlink" Target="mailto:wpptconfeccoes@gmail.com" TargetMode="External"/><Relationship Id="rId11" Type="http://schemas.openxmlformats.org/officeDocument/2006/relationships/hyperlink" Target="mailto:inovare@inovarecomercio.com.br" TargetMode="External"/><Relationship Id="rId32" Type="http://schemas.openxmlformats.org/officeDocument/2006/relationships/hyperlink" Target="mailto:financeiro@pedraazulmat.com.br" TargetMode="External"/><Relationship Id="rId37" Type="http://schemas.openxmlformats.org/officeDocument/2006/relationships/hyperlink" Target="mailto:clovisb@catuai.com.br" TargetMode="External"/><Relationship Id="rId53" Type="http://schemas.openxmlformats.org/officeDocument/2006/relationships/hyperlink" Target="mailto:softgelcalcados@gmail.com" TargetMode="External"/><Relationship Id="rId58" Type="http://schemas.openxmlformats.org/officeDocument/2006/relationships/hyperlink" Target="mailto:top-comercial@bol.com.br" TargetMode="External"/><Relationship Id="rId74" Type="http://schemas.openxmlformats.org/officeDocument/2006/relationships/hyperlink" Target="mailto:comercialribashop@gmail.com" TargetMode="External"/><Relationship Id="rId79" Type="http://schemas.openxmlformats.org/officeDocument/2006/relationships/hyperlink" Target="mailto:atendimentovarejo@belicamilitar.com.Br" TargetMode="External"/><Relationship Id="rId5" Type="http://schemas.openxmlformats.org/officeDocument/2006/relationships/hyperlink" Target="mailto:ROSANA.ELLOSERVCONT@GMAIL.COM" TargetMode="External"/><Relationship Id="rId90" Type="http://schemas.openxmlformats.org/officeDocument/2006/relationships/hyperlink" Target="mailto:comercial@nordens.com.br" TargetMode="External"/><Relationship Id="rId14" Type="http://schemas.openxmlformats.org/officeDocument/2006/relationships/hyperlink" Target="mailto:tigare@terra.com.br" TargetMode="External"/><Relationship Id="rId22" Type="http://schemas.openxmlformats.org/officeDocument/2006/relationships/hyperlink" Target="mailto:encarregado@netshoes.com" TargetMode="External"/><Relationship Id="rId27" Type="http://schemas.openxmlformats.org/officeDocument/2006/relationships/hyperlink" Target="mailto:curitiba.cadastro@hotmail.com" TargetMode="External"/><Relationship Id="rId30" Type="http://schemas.openxmlformats.org/officeDocument/2006/relationships/hyperlink" Target="mailto:riolliuniformes@hotmail.com" TargetMode="External"/><Relationship Id="rId35" Type="http://schemas.openxmlformats.org/officeDocument/2006/relationships/hyperlink" Target="mailto:ROSANA.ELLOSERVCONT@GMAIL.COM" TargetMode="External"/><Relationship Id="rId43" Type="http://schemas.openxmlformats.org/officeDocument/2006/relationships/hyperlink" Target="mailto:latorresfinanceiro@gmail.com" TargetMode="External"/><Relationship Id="rId48" Type="http://schemas.openxmlformats.org/officeDocument/2006/relationships/hyperlink" Target="mailto:wpptconfeccoes@gmail.com" TargetMode="External"/><Relationship Id="rId56" Type="http://schemas.openxmlformats.org/officeDocument/2006/relationships/hyperlink" Target="mailto:ponix@ponix.com.br" TargetMode="External"/><Relationship Id="rId64" Type="http://schemas.openxmlformats.org/officeDocument/2006/relationships/hyperlink" Target="mailto:moboasorte@hotmail.com" TargetMode="External"/><Relationship Id="rId69" Type="http://schemas.openxmlformats.org/officeDocument/2006/relationships/hyperlink" Target="mailto:sac@aheadsports.com.br" TargetMode="External"/><Relationship Id="rId77" Type="http://schemas.openxmlformats.org/officeDocument/2006/relationships/hyperlink" Target="mailto:contato@evotactical.com.br" TargetMode="External"/><Relationship Id="rId8" Type="http://schemas.openxmlformats.org/officeDocument/2006/relationships/hyperlink" Target="mailto:ideal.contabil3@gmail.com" TargetMode="External"/><Relationship Id="rId51" Type="http://schemas.openxmlformats.org/officeDocument/2006/relationships/hyperlink" Target="mailto:inovare@inovarecomercio.com.br" TargetMode="External"/><Relationship Id="rId72" Type="http://schemas.openxmlformats.org/officeDocument/2006/relationships/hyperlink" Target="mailto:falconarmas@hotmail.com" TargetMode="External"/><Relationship Id="rId80" Type="http://schemas.openxmlformats.org/officeDocument/2006/relationships/hyperlink" Target="mailto:admin@jariomilitar.com.br" TargetMode="External"/><Relationship Id="rId85" Type="http://schemas.openxmlformats.org/officeDocument/2006/relationships/hyperlink" Target="mailto:contatopolice@gmail.com" TargetMode="External"/><Relationship Id="rId3" Type="http://schemas.openxmlformats.org/officeDocument/2006/relationships/hyperlink" Target="mailto:rosydaitx@hotmail.com" TargetMode="External"/><Relationship Id="rId12" Type="http://schemas.openxmlformats.org/officeDocument/2006/relationships/hyperlink" Target="mailto:afaindustria.licitacao@gmail.com" TargetMode="External"/><Relationship Id="rId17" Type="http://schemas.openxmlformats.org/officeDocument/2006/relationships/hyperlink" Target="mailto:wpptconfeccoes@gmail.com" TargetMode="External"/><Relationship Id="rId25" Type="http://schemas.openxmlformats.org/officeDocument/2006/relationships/hyperlink" Target="mailto:dpo@santalolla.com.br" TargetMode="External"/><Relationship Id="rId33" Type="http://schemas.openxmlformats.org/officeDocument/2006/relationships/hyperlink" Target="mailto:rosydaitx@hotmail.com" TargetMode="External"/><Relationship Id="rId38" Type="http://schemas.openxmlformats.org/officeDocument/2006/relationships/hyperlink" Target="mailto:ideal.contabil3@gmail.com" TargetMode="External"/><Relationship Id="rId46" Type="http://schemas.openxmlformats.org/officeDocument/2006/relationships/hyperlink" Target="mailto:wpptconfeccoes@gmail.com" TargetMode="External"/><Relationship Id="rId59" Type="http://schemas.openxmlformats.org/officeDocument/2006/relationships/hyperlink" Target="mailto:atendimento.acom@americanas.com" TargetMode="External"/><Relationship Id="rId67" Type="http://schemas.openxmlformats.org/officeDocument/2006/relationships/hyperlink" Target="mailto:cristina.costa@nelsonfolador.com.br" TargetMode="External"/><Relationship Id="rId20" Type="http://schemas.openxmlformats.org/officeDocument/2006/relationships/hyperlink" Target="mailto:lmuniformes1@outlook.com" TargetMode="External"/><Relationship Id="rId41" Type="http://schemas.openxmlformats.org/officeDocument/2006/relationships/hyperlink" Target="mailto:inovare@inovarecomercio.com.br" TargetMode="External"/><Relationship Id="rId54" Type="http://schemas.openxmlformats.org/officeDocument/2006/relationships/hyperlink" Target="mailto:ewersonlucenafilho@icloud.com" TargetMode="External"/><Relationship Id="rId62" Type="http://schemas.openxmlformats.org/officeDocument/2006/relationships/hyperlink" Target="mailto:uniformesbaruc@outlook.com" TargetMode="External"/><Relationship Id="rId70" Type="http://schemas.openxmlformats.org/officeDocument/2006/relationships/hyperlink" Target="mailto:atendimentovarejo@belicamilitar.com.Br" TargetMode="External"/><Relationship Id="rId75" Type="http://schemas.openxmlformats.org/officeDocument/2006/relationships/hyperlink" Target="mailto:a3-contabilidade@hotmail.com" TargetMode="External"/><Relationship Id="rId83" Type="http://schemas.openxmlformats.org/officeDocument/2006/relationships/hyperlink" Target="mailto:contato@tacticalwal.com.br" TargetMode="External"/><Relationship Id="rId88" Type="http://schemas.openxmlformats.org/officeDocument/2006/relationships/hyperlink" Target="mailto:macini@linkway.com.br" TargetMode="External"/><Relationship Id="rId91" Type="http://schemas.openxmlformats.org/officeDocument/2006/relationships/printerSettings" Target="../printerSettings/printerSettings4.bin"/><Relationship Id="rId1" Type="http://schemas.openxmlformats.org/officeDocument/2006/relationships/hyperlink" Target="mailto:rayletconfeccoes@gmail.com" TargetMode="External"/><Relationship Id="rId6" Type="http://schemas.openxmlformats.org/officeDocument/2006/relationships/hyperlink" Target="mailto:clovisb@catuai.com.br" TargetMode="External"/><Relationship Id="rId15" Type="http://schemas.openxmlformats.org/officeDocument/2006/relationships/hyperlink" Target="mailto:tigare@terra.com.br" TargetMode="External"/><Relationship Id="rId23" Type="http://schemas.openxmlformats.org/officeDocument/2006/relationships/hyperlink" Target="mailto:csonline@carmensteffens.com.br" TargetMode="External"/><Relationship Id="rId28" Type="http://schemas.openxmlformats.org/officeDocument/2006/relationships/hyperlink" Target="mailto:ponix@ponix.com.br" TargetMode="External"/><Relationship Id="rId36" Type="http://schemas.openxmlformats.org/officeDocument/2006/relationships/hyperlink" Target="mailto:clovisb@catuai.com.br" TargetMode="External"/><Relationship Id="rId49" Type="http://schemas.openxmlformats.org/officeDocument/2006/relationships/hyperlink" Target="mailto:bbclicitacao@gmail.com" TargetMode="External"/><Relationship Id="rId57" Type="http://schemas.openxmlformats.org/officeDocument/2006/relationships/hyperlink" Target="mailto:ponix@ponix.com.br" TargetMode="External"/><Relationship Id="rId10" Type="http://schemas.openxmlformats.org/officeDocument/2006/relationships/hyperlink" Target="mailto:bebdistribuicao@gmail.com" TargetMode="External"/><Relationship Id="rId31" Type="http://schemas.openxmlformats.org/officeDocument/2006/relationships/hyperlink" Target="mailto:rayletconfeccoes@gmail.com" TargetMode="External"/><Relationship Id="rId44" Type="http://schemas.openxmlformats.org/officeDocument/2006/relationships/hyperlink" Target="mailto:tigare@terra.com.br" TargetMode="External"/><Relationship Id="rId52" Type="http://schemas.openxmlformats.org/officeDocument/2006/relationships/hyperlink" Target="mailto:vendasportalc@gmail.com" TargetMode="External"/><Relationship Id="rId60" Type="http://schemas.openxmlformats.org/officeDocument/2006/relationships/hyperlink" Target="mailto:casadasgravatas@uol.com.br" TargetMode="External"/><Relationship Id="rId65" Type="http://schemas.openxmlformats.org/officeDocument/2006/relationships/hyperlink" Target="mailto:financeiro@lojaodosesportes.com.br" TargetMode="External"/><Relationship Id="rId73" Type="http://schemas.openxmlformats.org/officeDocument/2006/relationships/hyperlink" Target="mailto:srcoldres@gmail.com" TargetMode="External"/><Relationship Id="rId78" Type="http://schemas.openxmlformats.org/officeDocument/2006/relationships/hyperlink" Target="mailto:sac@richtertaticos.com.br" TargetMode="External"/><Relationship Id="rId81" Type="http://schemas.openxmlformats.org/officeDocument/2006/relationships/hyperlink" Target="mailto:sac@beartac.com.br" TargetMode="External"/><Relationship Id="rId86" Type="http://schemas.openxmlformats.org/officeDocument/2006/relationships/hyperlink" Target="mailto:contato@lojawwart.com.br" TargetMode="External"/><Relationship Id="rId4" Type="http://schemas.openxmlformats.org/officeDocument/2006/relationships/hyperlink" Target="mailto:m.arcoverde@yahoo.com.br" TargetMode="External"/><Relationship Id="rId9" Type="http://schemas.openxmlformats.org/officeDocument/2006/relationships/hyperlink" Target="mailto:riolliuniformes@hotmail.com" TargetMode="External"/><Relationship Id="rId13" Type="http://schemas.openxmlformats.org/officeDocument/2006/relationships/hyperlink" Target="mailto:latorresfinanceiro@gmail.com" TargetMode="External"/><Relationship Id="rId18" Type="http://schemas.openxmlformats.org/officeDocument/2006/relationships/hyperlink" Target="mailto:wpptconfeccoes@gmail.com" TargetMode="External"/><Relationship Id="rId39" Type="http://schemas.openxmlformats.org/officeDocument/2006/relationships/hyperlink" Target="mailto:riolliuniformes@hotmail.com" TargetMode="External"/><Relationship Id="rId34" Type="http://schemas.openxmlformats.org/officeDocument/2006/relationships/hyperlink" Target="mailto:m.arcoverde@yahoo.com.br" TargetMode="External"/><Relationship Id="rId50" Type="http://schemas.openxmlformats.org/officeDocument/2006/relationships/hyperlink" Target="mailto:lmuniformes1@outlook.com" TargetMode="External"/><Relationship Id="rId55" Type="http://schemas.openxmlformats.org/officeDocument/2006/relationships/hyperlink" Target="mailto:societario@lidersc.com.br" TargetMode="External"/><Relationship Id="rId76" Type="http://schemas.openxmlformats.org/officeDocument/2006/relationships/hyperlink" Target="mailto:marketing@warfare.com.br" TargetMode="External"/><Relationship Id="rId7" Type="http://schemas.openxmlformats.org/officeDocument/2006/relationships/hyperlink" Target="mailto:clovisb@catuai.com.br" TargetMode="External"/><Relationship Id="rId71" Type="http://schemas.openxmlformats.org/officeDocument/2006/relationships/hyperlink" Target="mailto:verticaldoponto@verticaldoponto.com.br" TargetMode="External"/><Relationship Id="rId2" Type="http://schemas.openxmlformats.org/officeDocument/2006/relationships/hyperlink" Target="mailto:financeiro@pedraazulmat.com.br" TargetMode="External"/><Relationship Id="rId29" Type="http://schemas.openxmlformats.org/officeDocument/2006/relationships/hyperlink" Target="mailto:alacide3433@hotmail.com" TargetMode="External"/><Relationship Id="rId24" Type="http://schemas.openxmlformats.org/officeDocument/2006/relationships/hyperlink" Target="mailto:atendimento@sapatella.com.br" TargetMode="External"/><Relationship Id="rId40" Type="http://schemas.openxmlformats.org/officeDocument/2006/relationships/hyperlink" Target="mailto:bebdistribuicao@gmail.com" TargetMode="External"/><Relationship Id="rId45" Type="http://schemas.openxmlformats.org/officeDocument/2006/relationships/hyperlink" Target="mailto:tigare@terra.com.br" TargetMode="External"/><Relationship Id="rId66" Type="http://schemas.openxmlformats.org/officeDocument/2006/relationships/hyperlink" Target="mailto:c.michelan@incompanny.com.br" TargetMode="External"/><Relationship Id="rId87" Type="http://schemas.openxmlformats.org/officeDocument/2006/relationships/hyperlink" Target="mailto:bazarmilitaram@yahoo.com.br" TargetMode="External"/><Relationship Id="rId61" Type="http://schemas.openxmlformats.org/officeDocument/2006/relationships/hyperlink" Target="mailto:candangobrindes@hotmail.com" TargetMode="External"/><Relationship Id="rId82" Type="http://schemas.openxmlformats.org/officeDocument/2006/relationships/hyperlink" Target="mailto:atendimento@montese.net" TargetMode="External"/><Relationship Id="rId19" Type="http://schemas.openxmlformats.org/officeDocument/2006/relationships/hyperlink" Target="mailto:bbclicitaca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B6C88-A505-451D-B56D-15DB4756E125}">
  <dimension ref="B1:U23"/>
  <sheetViews>
    <sheetView tabSelected="1" zoomScaleNormal="100" workbookViewId="0">
      <selection activeCell="M3" sqref="M3"/>
    </sheetView>
  </sheetViews>
  <sheetFormatPr defaultRowHeight="15" x14ac:dyDescent="0.25"/>
  <cols>
    <col min="1" max="1" width="3" customWidth="1"/>
    <col min="2" max="3" width="5.85546875" customWidth="1"/>
    <col min="4" max="4" width="29.85546875" customWidth="1"/>
    <col min="5" max="5" width="10" customWidth="1"/>
    <col min="6" max="6" width="11.140625" customWidth="1"/>
    <col min="7" max="7" width="9.42578125" customWidth="1"/>
    <col min="8" max="8" width="13.7109375" customWidth="1"/>
    <col min="9" max="9" width="14" customWidth="1"/>
    <col min="10" max="10" width="15.7109375" customWidth="1"/>
    <col min="11" max="11" width="15" customWidth="1"/>
    <col min="12" max="12" width="8.28515625" customWidth="1"/>
    <col min="13" max="13" width="16.42578125" customWidth="1"/>
    <col min="14" max="14" width="12.5703125" customWidth="1"/>
    <col min="15" max="15" width="16.85546875" customWidth="1"/>
    <col min="16" max="16" width="18.28515625" customWidth="1"/>
    <col min="17" max="17" width="16.85546875" bestFit="1" customWidth="1"/>
  </cols>
  <sheetData>
    <row r="1" spans="2:21" s="45" customFormat="1" ht="78.75" customHeight="1" x14ac:dyDescent="0.25">
      <c r="D1" s="141" t="s">
        <v>521</v>
      </c>
      <c r="E1" s="141"/>
      <c r="F1" s="141"/>
      <c r="G1" s="46"/>
    </row>
    <row r="2" spans="2:21" s="45" customFormat="1" ht="18.75" customHeight="1" x14ac:dyDescent="0.25">
      <c r="B2" s="48" t="s">
        <v>702</v>
      </c>
      <c r="D2" s="47"/>
      <c r="E2" s="47"/>
      <c r="F2" s="47"/>
      <c r="G2" s="47"/>
    </row>
    <row r="3" spans="2:21" s="45" customFormat="1" ht="18.75" customHeight="1" x14ac:dyDescent="0.25">
      <c r="B3" s="48" t="s">
        <v>519</v>
      </c>
      <c r="D3" s="48"/>
      <c r="E3" s="48"/>
      <c r="F3" s="48"/>
      <c r="G3" s="48"/>
    </row>
    <row r="4" spans="2:21" s="49" customFormat="1" ht="18.75" customHeight="1" x14ac:dyDescent="0.25">
      <c r="B4" s="48" t="s">
        <v>120</v>
      </c>
      <c r="H4"/>
      <c r="J4"/>
      <c r="K4"/>
      <c r="M4"/>
      <c r="O4"/>
      <c r="P4"/>
      <c r="Q4"/>
      <c r="R4"/>
      <c r="S4"/>
      <c r="T4"/>
      <c r="U4"/>
    </row>
    <row r="5" spans="2:21" s="49" customFormat="1" ht="18.75" customHeight="1" x14ac:dyDescent="0.25">
      <c r="B5" s="48" t="s">
        <v>128</v>
      </c>
    </row>
    <row r="6" spans="2:21" ht="21" customHeight="1" x14ac:dyDescent="0.25"/>
    <row r="7" spans="2:21" ht="18" customHeight="1" x14ac:dyDescent="0.25">
      <c r="B7" s="145" t="s">
        <v>104</v>
      </c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7"/>
    </row>
    <row r="8" spans="2:21" ht="60" x14ac:dyDescent="0.25">
      <c r="B8" s="143" t="s">
        <v>85</v>
      </c>
      <c r="C8" s="144"/>
      <c r="D8" s="4" t="s">
        <v>127</v>
      </c>
      <c r="E8" s="4" t="s">
        <v>112</v>
      </c>
      <c r="F8" s="4" t="s">
        <v>113</v>
      </c>
      <c r="G8" s="4" t="s">
        <v>103</v>
      </c>
      <c r="H8" s="4" t="s">
        <v>697</v>
      </c>
      <c r="I8" s="4" t="s">
        <v>703</v>
      </c>
      <c r="J8" s="4" t="s">
        <v>677</v>
      </c>
      <c r="K8" s="4" t="s">
        <v>695</v>
      </c>
      <c r="L8" s="4" t="s">
        <v>698</v>
      </c>
      <c r="M8" s="4" t="s">
        <v>696</v>
      </c>
      <c r="N8" s="4" t="s">
        <v>699</v>
      </c>
    </row>
    <row r="9" spans="2:21" ht="18" customHeight="1" x14ac:dyDescent="0.25">
      <c r="B9" s="142">
        <v>1</v>
      </c>
      <c r="C9" s="142"/>
      <c r="D9" s="54" t="s">
        <v>121</v>
      </c>
      <c r="E9" s="54" t="s">
        <v>114</v>
      </c>
      <c r="F9" s="54" t="s">
        <v>116</v>
      </c>
      <c r="G9" s="51" t="s">
        <v>124</v>
      </c>
      <c r="H9" s="50">
        <f>'Estimativa de Custos'!G108</f>
        <v>10074.469999999999</v>
      </c>
      <c r="I9" s="51">
        <v>2</v>
      </c>
      <c r="J9" s="50">
        <f t="shared" ref="J9:J16" si="0">H9*I9</f>
        <v>20148.939999999999</v>
      </c>
      <c r="K9" s="50">
        <f t="shared" ref="K9:K16" si="1">J9*12</f>
        <v>241787.27999999997</v>
      </c>
      <c r="L9" s="51">
        <v>1</v>
      </c>
      <c r="M9" s="50">
        <f t="shared" ref="M9:M16" si="2">K9*L9</f>
        <v>241787.27999999997</v>
      </c>
      <c r="N9" s="51">
        <f t="shared" ref="N9:N16" si="3">I9*L9</f>
        <v>2</v>
      </c>
    </row>
    <row r="10" spans="2:21" ht="18" customHeight="1" x14ac:dyDescent="0.25">
      <c r="B10" s="142">
        <v>2</v>
      </c>
      <c r="C10" s="142"/>
      <c r="D10" s="54" t="s">
        <v>121</v>
      </c>
      <c r="E10" s="54" t="s">
        <v>114</v>
      </c>
      <c r="F10" s="54" t="s">
        <v>116</v>
      </c>
      <c r="G10" s="51" t="s">
        <v>125</v>
      </c>
      <c r="H10" s="50">
        <f>'Estimativa de Custos'!H108</f>
        <v>10449.56</v>
      </c>
      <c r="I10" s="51">
        <v>1</v>
      </c>
      <c r="J10" s="50">
        <f t="shared" si="0"/>
        <v>10449.56</v>
      </c>
      <c r="K10" s="50">
        <f t="shared" si="1"/>
        <v>125394.72</v>
      </c>
      <c r="L10" s="51">
        <v>1</v>
      </c>
      <c r="M10" s="50">
        <f t="shared" si="2"/>
        <v>125394.72</v>
      </c>
      <c r="N10" s="51">
        <f t="shared" si="3"/>
        <v>1</v>
      </c>
    </row>
    <row r="11" spans="2:21" ht="18" customHeight="1" x14ac:dyDescent="0.25">
      <c r="B11" s="142">
        <v>3</v>
      </c>
      <c r="C11" s="142"/>
      <c r="D11" s="54" t="s">
        <v>122</v>
      </c>
      <c r="E11" s="54" t="s">
        <v>114</v>
      </c>
      <c r="F11" s="50" t="s">
        <v>117</v>
      </c>
      <c r="G11" s="51" t="s">
        <v>124</v>
      </c>
      <c r="H11" s="50">
        <f>'Estimativa de Custos'!I108</f>
        <v>8640.17</v>
      </c>
      <c r="I11" s="51">
        <v>2</v>
      </c>
      <c r="J11" s="50">
        <f t="shared" si="0"/>
        <v>17280.34</v>
      </c>
      <c r="K11" s="50">
        <f t="shared" si="1"/>
        <v>207364.08000000002</v>
      </c>
      <c r="L11" s="51">
        <v>7</v>
      </c>
      <c r="M11" s="50">
        <f t="shared" si="2"/>
        <v>1451548.56</v>
      </c>
      <c r="N11" s="51">
        <f t="shared" si="3"/>
        <v>14</v>
      </c>
    </row>
    <row r="12" spans="2:21" ht="18" customHeight="1" x14ac:dyDescent="0.25">
      <c r="B12" s="142">
        <v>4</v>
      </c>
      <c r="C12" s="142"/>
      <c r="D12" s="54" t="s">
        <v>122</v>
      </c>
      <c r="E12" s="54" t="s">
        <v>115</v>
      </c>
      <c r="F12" s="54" t="s">
        <v>117</v>
      </c>
      <c r="G12" s="51" t="s">
        <v>124</v>
      </c>
      <c r="H12" s="50">
        <f>'Estimativa de Custos'!J108</f>
        <v>9468.81</v>
      </c>
      <c r="I12" s="51">
        <v>2</v>
      </c>
      <c r="J12" s="50">
        <f t="shared" si="0"/>
        <v>18937.62</v>
      </c>
      <c r="K12" s="50">
        <f t="shared" si="1"/>
        <v>227251.44</v>
      </c>
      <c r="L12" s="51">
        <v>7</v>
      </c>
      <c r="M12" s="50">
        <f t="shared" si="2"/>
        <v>1590760.08</v>
      </c>
      <c r="N12" s="51">
        <f t="shared" si="3"/>
        <v>14</v>
      </c>
    </row>
    <row r="13" spans="2:21" ht="18" customHeight="1" x14ac:dyDescent="0.25">
      <c r="B13" s="142">
        <v>5</v>
      </c>
      <c r="C13" s="142"/>
      <c r="D13" s="54" t="s">
        <v>122</v>
      </c>
      <c r="E13" s="54" t="s">
        <v>114</v>
      </c>
      <c r="F13" s="54" t="s">
        <v>116</v>
      </c>
      <c r="G13" s="51" t="s">
        <v>124</v>
      </c>
      <c r="H13" s="50">
        <f>'Estimativa de Custos'!K108</f>
        <v>8648.17</v>
      </c>
      <c r="I13" s="51">
        <v>2</v>
      </c>
      <c r="J13" s="50">
        <f t="shared" si="0"/>
        <v>17296.34</v>
      </c>
      <c r="K13" s="50">
        <f t="shared" si="1"/>
        <v>207556.08000000002</v>
      </c>
      <c r="L13" s="51">
        <v>2</v>
      </c>
      <c r="M13" s="50">
        <f t="shared" si="2"/>
        <v>415112.16000000003</v>
      </c>
      <c r="N13" s="51">
        <f t="shared" si="3"/>
        <v>4</v>
      </c>
    </row>
    <row r="14" spans="2:21" ht="18" customHeight="1" x14ac:dyDescent="0.25">
      <c r="B14" s="142">
        <v>6</v>
      </c>
      <c r="C14" s="142"/>
      <c r="D14" s="55" t="s">
        <v>122</v>
      </c>
      <c r="E14" s="55" t="s">
        <v>115</v>
      </c>
      <c r="F14" s="54" t="s">
        <v>116</v>
      </c>
      <c r="G14" s="51" t="s">
        <v>124</v>
      </c>
      <c r="H14" s="50">
        <f>'Estimativa de Custos'!L108</f>
        <v>9467.4500000000007</v>
      </c>
      <c r="I14" s="51">
        <v>2</v>
      </c>
      <c r="J14" s="50">
        <f t="shared" si="0"/>
        <v>18934.900000000001</v>
      </c>
      <c r="K14" s="50">
        <f t="shared" si="1"/>
        <v>227218.80000000002</v>
      </c>
      <c r="L14" s="51">
        <v>6</v>
      </c>
      <c r="M14" s="50">
        <f t="shared" si="2"/>
        <v>1363312.8</v>
      </c>
      <c r="N14" s="51">
        <f t="shared" si="3"/>
        <v>12</v>
      </c>
    </row>
    <row r="15" spans="2:21" ht="18" customHeight="1" x14ac:dyDescent="0.25">
      <c r="B15" s="142">
        <v>7</v>
      </c>
      <c r="C15" s="142"/>
      <c r="D15" s="54" t="s">
        <v>122</v>
      </c>
      <c r="E15" s="54" t="s">
        <v>114</v>
      </c>
      <c r="F15" s="54" t="s">
        <v>116</v>
      </c>
      <c r="G15" s="51" t="s">
        <v>125</v>
      </c>
      <c r="H15" s="50">
        <f>'Estimativa de Custos'!M108</f>
        <v>9045.67</v>
      </c>
      <c r="I15" s="51">
        <v>1</v>
      </c>
      <c r="J15" s="50">
        <f t="shared" si="0"/>
        <v>9045.67</v>
      </c>
      <c r="K15" s="50">
        <f t="shared" si="1"/>
        <v>108548.04000000001</v>
      </c>
      <c r="L15" s="51">
        <v>34</v>
      </c>
      <c r="M15" s="50">
        <f t="shared" si="2"/>
        <v>3690633.3600000003</v>
      </c>
      <c r="N15" s="51">
        <f t="shared" si="3"/>
        <v>34</v>
      </c>
    </row>
    <row r="16" spans="2:21" ht="18" customHeight="1" x14ac:dyDescent="0.25">
      <c r="B16" s="142">
        <v>8</v>
      </c>
      <c r="C16" s="142"/>
      <c r="D16" s="54" t="s">
        <v>123</v>
      </c>
      <c r="E16" s="54" t="s">
        <v>114</v>
      </c>
      <c r="F16" s="54" t="s">
        <v>116</v>
      </c>
      <c r="G16" s="51" t="s">
        <v>124</v>
      </c>
      <c r="H16" s="50">
        <f>'Estimativa de Custos'!N108</f>
        <v>8641.8799999999992</v>
      </c>
      <c r="I16" s="51">
        <v>2</v>
      </c>
      <c r="J16" s="50">
        <f t="shared" si="0"/>
        <v>17283.759999999998</v>
      </c>
      <c r="K16" s="50">
        <f t="shared" si="1"/>
        <v>207405.12</v>
      </c>
      <c r="L16" s="51">
        <v>3</v>
      </c>
      <c r="M16" s="50">
        <f t="shared" si="2"/>
        <v>622215.36</v>
      </c>
      <c r="N16" s="51">
        <f t="shared" si="3"/>
        <v>6</v>
      </c>
    </row>
    <row r="17" spans="2:14" ht="18" customHeight="1" x14ac:dyDescent="0.25">
      <c r="J17" s="50">
        <f>SUM(J9:J16)</f>
        <v>129377.12999999998</v>
      </c>
      <c r="K17" s="50"/>
      <c r="L17" s="130">
        <f>SUM(L9:L16)</f>
        <v>61</v>
      </c>
      <c r="M17" s="129">
        <f>SUM(M9:M16)</f>
        <v>9500764.3200000003</v>
      </c>
      <c r="N17" s="130">
        <f>SUM(N9:N16)</f>
        <v>87</v>
      </c>
    </row>
    <row r="18" spans="2:14" x14ac:dyDescent="0.25">
      <c r="B18" s="53"/>
    </row>
    <row r="19" spans="2:14" x14ac:dyDescent="0.25">
      <c r="B19" s="53"/>
    </row>
    <row r="20" spans="2:14" x14ac:dyDescent="0.25">
      <c r="B20" s="53"/>
    </row>
    <row r="21" spans="2:14" x14ac:dyDescent="0.25">
      <c r="B21" s="53"/>
    </row>
    <row r="22" spans="2:14" x14ac:dyDescent="0.25">
      <c r="B22" s="53"/>
    </row>
    <row r="23" spans="2:14" x14ac:dyDescent="0.25">
      <c r="I23" s="53"/>
    </row>
  </sheetData>
  <mergeCells count="11">
    <mergeCell ref="D1:F1"/>
    <mergeCell ref="B16:C16"/>
    <mergeCell ref="B8:C8"/>
    <mergeCell ref="B9:C9"/>
    <mergeCell ref="B10:C10"/>
    <mergeCell ref="B11:C11"/>
    <mergeCell ref="B12:C12"/>
    <mergeCell ref="B13:C13"/>
    <mergeCell ref="B14:C14"/>
    <mergeCell ref="B15:C15"/>
    <mergeCell ref="B7:N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58D3F-CB2E-4E1E-93CD-FFD3555870C2}">
  <dimension ref="A1:AB125"/>
  <sheetViews>
    <sheetView topLeftCell="C1" zoomScale="90" zoomScaleNormal="90" workbookViewId="0">
      <pane ySplit="1" topLeftCell="A93" activePane="bottomLeft" state="frozen"/>
      <selection activeCell="C1" sqref="C1"/>
      <selection pane="bottomLeft" activeCell="R65" sqref="R65:R67"/>
    </sheetView>
  </sheetViews>
  <sheetFormatPr defaultColWidth="8.85546875" defaultRowHeight="15" x14ac:dyDescent="0.25"/>
  <cols>
    <col min="1" max="1" width="11.85546875" style="82" customWidth="1"/>
    <col min="2" max="2" width="43" style="78" customWidth="1"/>
    <col min="3" max="3" width="9.7109375" style="39" customWidth="1"/>
    <col min="4" max="4" width="10.28515625" style="78" customWidth="1"/>
    <col min="5" max="5" width="6.85546875" style="78" customWidth="1"/>
    <col min="6" max="6" width="13.5703125" style="83" customWidth="1"/>
    <col min="7" max="14" width="21" style="84" customWidth="1"/>
    <col min="15" max="15" width="10.5703125" style="78" customWidth="1"/>
    <col min="16" max="16" width="5.140625" style="78" bestFit="1" customWidth="1"/>
    <col min="17" max="17" width="8.42578125" style="78" bestFit="1" customWidth="1"/>
    <col min="18" max="18" width="13.140625" style="78" bestFit="1" customWidth="1"/>
    <col min="19" max="19" width="9.140625" style="78" bestFit="1" customWidth="1"/>
    <col min="20" max="21" width="15.42578125" style="78" customWidth="1"/>
    <col min="22" max="22" width="16.42578125" style="78" customWidth="1"/>
    <col min="23" max="24" width="17.28515625" style="78" customWidth="1"/>
    <col min="25" max="26" width="15.42578125" style="78" customWidth="1"/>
    <col min="27" max="28" width="12.7109375" style="78" customWidth="1"/>
    <col min="29" max="246" width="8.85546875" style="78"/>
    <col min="247" max="247" width="7.42578125" style="78" customWidth="1"/>
    <col min="248" max="248" width="45.7109375" style="78" customWidth="1"/>
    <col min="249" max="249" width="11" style="78" customWidth="1"/>
    <col min="250" max="250" width="10.28515625" style="78" customWidth="1"/>
    <col min="251" max="251" width="9.85546875" style="78" customWidth="1"/>
    <col min="252" max="252" width="16.28515625" style="78" customWidth="1"/>
    <col min="253" max="253" width="35.42578125" style="78" customWidth="1"/>
    <col min="254" max="254" width="0.140625" style="78" customWidth="1"/>
    <col min="255" max="255" width="33.85546875" style="78" customWidth="1"/>
    <col min="256" max="256" width="14" style="78" customWidth="1"/>
    <col min="257" max="502" width="8.85546875" style="78"/>
    <col min="503" max="503" width="7.42578125" style="78" customWidth="1"/>
    <col min="504" max="504" width="45.7109375" style="78" customWidth="1"/>
    <col min="505" max="505" width="11" style="78" customWidth="1"/>
    <col min="506" max="506" width="10.28515625" style="78" customWidth="1"/>
    <col min="507" max="507" width="9.85546875" style="78" customWidth="1"/>
    <col min="508" max="508" width="16.28515625" style="78" customWidth="1"/>
    <col min="509" max="509" width="35.42578125" style="78" customWidth="1"/>
    <col min="510" max="510" width="0.140625" style="78" customWidth="1"/>
    <col min="511" max="511" width="33.85546875" style="78" customWidth="1"/>
    <col min="512" max="512" width="14" style="78" customWidth="1"/>
    <col min="513" max="758" width="8.85546875" style="78"/>
    <col min="759" max="759" width="7.42578125" style="78" customWidth="1"/>
    <col min="760" max="760" width="45.7109375" style="78" customWidth="1"/>
    <col min="761" max="761" width="11" style="78" customWidth="1"/>
    <col min="762" max="762" width="10.28515625" style="78" customWidth="1"/>
    <col min="763" max="763" width="9.85546875" style="78" customWidth="1"/>
    <col min="764" max="764" width="16.28515625" style="78" customWidth="1"/>
    <col min="765" max="765" width="35.42578125" style="78" customWidth="1"/>
    <col min="766" max="766" width="0.140625" style="78" customWidth="1"/>
    <col min="767" max="767" width="33.85546875" style="78" customWidth="1"/>
    <col min="768" max="768" width="14" style="78" customWidth="1"/>
    <col min="769" max="1014" width="8.85546875" style="78"/>
    <col min="1015" max="1015" width="7.42578125" style="78" customWidth="1"/>
    <col min="1016" max="1016" width="45.7109375" style="78" customWidth="1"/>
    <col min="1017" max="1017" width="11" style="78" customWidth="1"/>
    <col min="1018" max="1018" width="10.28515625" style="78" customWidth="1"/>
    <col min="1019" max="1019" width="9.85546875" style="78" customWidth="1"/>
    <col min="1020" max="1020" width="16.28515625" style="78" customWidth="1"/>
    <col min="1021" max="1021" width="35.42578125" style="78" customWidth="1"/>
    <col min="1022" max="1022" width="0.140625" style="78" customWidth="1"/>
    <col min="1023" max="1023" width="33.85546875" style="78" customWidth="1"/>
    <col min="1024" max="1024" width="14" style="78" customWidth="1"/>
    <col min="1025" max="1270" width="8.85546875" style="78"/>
    <col min="1271" max="1271" width="7.42578125" style="78" customWidth="1"/>
    <col min="1272" max="1272" width="45.7109375" style="78" customWidth="1"/>
    <col min="1273" max="1273" width="11" style="78" customWidth="1"/>
    <col min="1274" max="1274" width="10.28515625" style="78" customWidth="1"/>
    <col min="1275" max="1275" width="9.85546875" style="78" customWidth="1"/>
    <col min="1276" max="1276" width="16.28515625" style="78" customWidth="1"/>
    <col min="1277" max="1277" width="35.42578125" style="78" customWidth="1"/>
    <col min="1278" max="1278" width="0.140625" style="78" customWidth="1"/>
    <col min="1279" max="1279" width="33.85546875" style="78" customWidth="1"/>
    <col min="1280" max="1280" width="14" style="78" customWidth="1"/>
    <col min="1281" max="1526" width="8.85546875" style="78"/>
    <col min="1527" max="1527" width="7.42578125" style="78" customWidth="1"/>
    <col min="1528" max="1528" width="45.7109375" style="78" customWidth="1"/>
    <col min="1529" max="1529" width="11" style="78" customWidth="1"/>
    <col min="1530" max="1530" width="10.28515625" style="78" customWidth="1"/>
    <col min="1531" max="1531" width="9.85546875" style="78" customWidth="1"/>
    <col min="1532" max="1532" width="16.28515625" style="78" customWidth="1"/>
    <col min="1533" max="1533" width="35.42578125" style="78" customWidth="1"/>
    <col min="1534" max="1534" width="0.140625" style="78" customWidth="1"/>
    <col min="1535" max="1535" width="33.85546875" style="78" customWidth="1"/>
    <col min="1536" max="1536" width="14" style="78" customWidth="1"/>
    <col min="1537" max="1782" width="8.85546875" style="78"/>
    <col min="1783" max="1783" width="7.42578125" style="78" customWidth="1"/>
    <col min="1784" max="1784" width="45.7109375" style="78" customWidth="1"/>
    <col min="1785" max="1785" width="11" style="78" customWidth="1"/>
    <col min="1786" max="1786" width="10.28515625" style="78" customWidth="1"/>
    <col min="1787" max="1787" width="9.85546875" style="78" customWidth="1"/>
    <col min="1788" max="1788" width="16.28515625" style="78" customWidth="1"/>
    <col min="1789" max="1789" width="35.42578125" style="78" customWidth="1"/>
    <col min="1790" max="1790" width="0.140625" style="78" customWidth="1"/>
    <col min="1791" max="1791" width="33.85546875" style="78" customWidth="1"/>
    <col min="1792" max="1792" width="14" style="78" customWidth="1"/>
    <col min="1793" max="2038" width="8.85546875" style="78"/>
    <col min="2039" max="2039" width="7.42578125" style="78" customWidth="1"/>
    <col min="2040" max="2040" width="45.7109375" style="78" customWidth="1"/>
    <col min="2041" max="2041" width="11" style="78" customWidth="1"/>
    <col min="2042" max="2042" width="10.28515625" style="78" customWidth="1"/>
    <col min="2043" max="2043" width="9.85546875" style="78" customWidth="1"/>
    <col min="2044" max="2044" width="16.28515625" style="78" customWidth="1"/>
    <col min="2045" max="2045" width="35.42578125" style="78" customWidth="1"/>
    <col min="2046" max="2046" width="0.140625" style="78" customWidth="1"/>
    <col min="2047" max="2047" width="33.85546875" style="78" customWidth="1"/>
    <col min="2048" max="2048" width="14" style="78" customWidth="1"/>
    <col min="2049" max="2294" width="8.85546875" style="78"/>
    <col min="2295" max="2295" width="7.42578125" style="78" customWidth="1"/>
    <col min="2296" max="2296" width="45.7109375" style="78" customWidth="1"/>
    <col min="2297" max="2297" width="11" style="78" customWidth="1"/>
    <col min="2298" max="2298" width="10.28515625" style="78" customWidth="1"/>
    <col min="2299" max="2299" width="9.85546875" style="78" customWidth="1"/>
    <col min="2300" max="2300" width="16.28515625" style="78" customWidth="1"/>
    <col min="2301" max="2301" width="35.42578125" style="78" customWidth="1"/>
    <col min="2302" max="2302" width="0.140625" style="78" customWidth="1"/>
    <col min="2303" max="2303" width="33.85546875" style="78" customWidth="1"/>
    <col min="2304" max="2304" width="14" style="78" customWidth="1"/>
    <col min="2305" max="2550" width="8.85546875" style="78"/>
    <col min="2551" max="2551" width="7.42578125" style="78" customWidth="1"/>
    <col min="2552" max="2552" width="45.7109375" style="78" customWidth="1"/>
    <col min="2553" max="2553" width="11" style="78" customWidth="1"/>
    <col min="2554" max="2554" width="10.28515625" style="78" customWidth="1"/>
    <col min="2555" max="2555" width="9.85546875" style="78" customWidth="1"/>
    <col min="2556" max="2556" width="16.28515625" style="78" customWidth="1"/>
    <col min="2557" max="2557" width="35.42578125" style="78" customWidth="1"/>
    <col min="2558" max="2558" width="0.140625" style="78" customWidth="1"/>
    <col min="2559" max="2559" width="33.85546875" style="78" customWidth="1"/>
    <col min="2560" max="2560" width="14" style="78" customWidth="1"/>
    <col min="2561" max="2806" width="8.85546875" style="78"/>
    <col min="2807" max="2807" width="7.42578125" style="78" customWidth="1"/>
    <col min="2808" max="2808" width="45.7109375" style="78" customWidth="1"/>
    <col min="2809" max="2809" width="11" style="78" customWidth="1"/>
    <col min="2810" max="2810" width="10.28515625" style="78" customWidth="1"/>
    <col min="2811" max="2811" width="9.85546875" style="78" customWidth="1"/>
    <col min="2812" max="2812" width="16.28515625" style="78" customWidth="1"/>
    <col min="2813" max="2813" width="35.42578125" style="78" customWidth="1"/>
    <col min="2814" max="2814" width="0.140625" style="78" customWidth="1"/>
    <col min="2815" max="2815" width="33.85546875" style="78" customWidth="1"/>
    <col min="2816" max="2816" width="14" style="78" customWidth="1"/>
    <col min="2817" max="3062" width="8.85546875" style="78"/>
    <col min="3063" max="3063" width="7.42578125" style="78" customWidth="1"/>
    <col min="3064" max="3064" width="45.7109375" style="78" customWidth="1"/>
    <col min="3065" max="3065" width="11" style="78" customWidth="1"/>
    <col min="3066" max="3066" width="10.28515625" style="78" customWidth="1"/>
    <col min="3067" max="3067" width="9.85546875" style="78" customWidth="1"/>
    <col min="3068" max="3068" width="16.28515625" style="78" customWidth="1"/>
    <col min="3069" max="3069" width="35.42578125" style="78" customWidth="1"/>
    <col min="3070" max="3070" width="0.140625" style="78" customWidth="1"/>
    <col min="3071" max="3071" width="33.85546875" style="78" customWidth="1"/>
    <col min="3072" max="3072" width="14" style="78" customWidth="1"/>
    <col min="3073" max="3318" width="8.85546875" style="78"/>
    <col min="3319" max="3319" width="7.42578125" style="78" customWidth="1"/>
    <col min="3320" max="3320" width="45.7109375" style="78" customWidth="1"/>
    <col min="3321" max="3321" width="11" style="78" customWidth="1"/>
    <col min="3322" max="3322" width="10.28515625" style="78" customWidth="1"/>
    <col min="3323" max="3323" width="9.85546875" style="78" customWidth="1"/>
    <col min="3324" max="3324" width="16.28515625" style="78" customWidth="1"/>
    <col min="3325" max="3325" width="35.42578125" style="78" customWidth="1"/>
    <col min="3326" max="3326" width="0.140625" style="78" customWidth="1"/>
    <col min="3327" max="3327" width="33.85546875" style="78" customWidth="1"/>
    <col min="3328" max="3328" width="14" style="78" customWidth="1"/>
    <col min="3329" max="3574" width="8.85546875" style="78"/>
    <col min="3575" max="3575" width="7.42578125" style="78" customWidth="1"/>
    <col min="3576" max="3576" width="45.7109375" style="78" customWidth="1"/>
    <col min="3577" max="3577" width="11" style="78" customWidth="1"/>
    <col min="3578" max="3578" width="10.28515625" style="78" customWidth="1"/>
    <col min="3579" max="3579" width="9.85546875" style="78" customWidth="1"/>
    <col min="3580" max="3580" width="16.28515625" style="78" customWidth="1"/>
    <col min="3581" max="3581" width="35.42578125" style="78" customWidth="1"/>
    <col min="3582" max="3582" width="0.140625" style="78" customWidth="1"/>
    <col min="3583" max="3583" width="33.85546875" style="78" customWidth="1"/>
    <col min="3584" max="3584" width="14" style="78" customWidth="1"/>
    <col min="3585" max="3830" width="8.85546875" style="78"/>
    <col min="3831" max="3831" width="7.42578125" style="78" customWidth="1"/>
    <col min="3832" max="3832" width="45.7109375" style="78" customWidth="1"/>
    <col min="3833" max="3833" width="11" style="78" customWidth="1"/>
    <col min="3834" max="3834" width="10.28515625" style="78" customWidth="1"/>
    <col min="3835" max="3835" width="9.85546875" style="78" customWidth="1"/>
    <col min="3836" max="3836" width="16.28515625" style="78" customWidth="1"/>
    <col min="3837" max="3837" width="35.42578125" style="78" customWidth="1"/>
    <col min="3838" max="3838" width="0.140625" style="78" customWidth="1"/>
    <col min="3839" max="3839" width="33.85546875" style="78" customWidth="1"/>
    <col min="3840" max="3840" width="14" style="78" customWidth="1"/>
    <col min="3841" max="4086" width="8.85546875" style="78"/>
    <col min="4087" max="4087" width="7.42578125" style="78" customWidth="1"/>
    <col min="4088" max="4088" width="45.7109375" style="78" customWidth="1"/>
    <col min="4089" max="4089" width="11" style="78" customWidth="1"/>
    <col min="4090" max="4090" width="10.28515625" style="78" customWidth="1"/>
    <col min="4091" max="4091" width="9.85546875" style="78" customWidth="1"/>
    <col min="4092" max="4092" width="16.28515625" style="78" customWidth="1"/>
    <col min="4093" max="4093" width="35.42578125" style="78" customWidth="1"/>
    <col min="4094" max="4094" width="0.140625" style="78" customWidth="1"/>
    <col min="4095" max="4095" width="33.85546875" style="78" customWidth="1"/>
    <col min="4096" max="4096" width="14" style="78" customWidth="1"/>
    <col min="4097" max="4342" width="8.85546875" style="78"/>
    <col min="4343" max="4343" width="7.42578125" style="78" customWidth="1"/>
    <col min="4344" max="4344" width="45.7109375" style="78" customWidth="1"/>
    <col min="4345" max="4345" width="11" style="78" customWidth="1"/>
    <col min="4346" max="4346" width="10.28515625" style="78" customWidth="1"/>
    <col min="4347" max="4347" width="9.85546875" style="78" customWidth="1"/>
    <col min="4348" max="4348" width="16.28515625" style="78" customWidth="1"/>
    <col min="4349" max="4349" width="35.42578125" style="78" customWidth="1"/>
    <col min="4350" max="4350" width="0.140625" style="78" customWidth="1"/>
    <col min="4351" max="4351" width="33.85546875" style="78" customWidth="1"/>
    <col min="4352" max="4352" width="14" style="78" customWidth="1"/>
    <col min="4353" max="4598" width="8.85546875" style="78"/>
    <col min="4599" max="4599" width="7.42578125" style="78" customWidth="1"/>
    <col min="4600" max="4600" width="45.7109375" style="78" customWidth="1"/>
    <col min="4601" max="4601" width="11" style="78" customWidth="1"/>
    <col min="4602" max="4602" width="10.28515625" style="78" customWidth="1"/>
    <col min="4603" max="4603" width="9.85546875" style="78" customWidth="1"/>
    <col min="4604" max="4604" width="16.28515625" style="78" customWidth="1"/>
    <col min="4605" max="4605" width="35.42578125" style="78" customWidth="1"/>
    <col min="4606" max="4606" width="0.140625" style="78" customWidth="1"/>
    <col min="4607" max="4607" width="33.85546875" style="78" customWidth="1"/>
    <col min="4608" max="4608" width="14" style="78" customWidth="1"/>
    <col min="4609" max="4854" width="8.85546875" style="78"/>
    <col min="4855" max="4855" width="7.42578125" style="78" customWidth="1"/>
    <col min="4856" max="4856" width="45.7109375" style="78" customWidth="1"/>
    <col min="4857" max="4857" width="11" style="78" customWidth="1"/>
    <col min="4858" max="4858" width="10.28515625" style="78" customWidth="1"/>
    <col min="4859" max="4859" width="9.85546875" style="78" customWidth="1"/>
    <col min="4860" max="4860" width="16.28515625" style="78" customWidth="1"/>
    <col min="4861" max="4861" width="35.42578125" style="78" customWidth="1"/>
    <col min="4862" max="4862" width="0.140625" style="78" customWidth="1"/>
    <col min="4863" max="4863" width="33.85546875" style="78" customWidth="1"/>
    <col min="4864" max="4864" width="14" style="78" customWidth="1"/>
    <col min="4865" max="5110" width="8.85546875" style="78"/>
    <col min="5111" max="5111" width="7.42578125" style="78" customWidth="1"/>
    <col min="5112" max="5112" width="45.7109375" style="78" customWidth="1"/>
    <col min="5113" max="5113" width="11" style="78" customWidth="1"/>
    <col min="5114" max="5114" width="10.28515625" style="78" customWidth="1"/>
    <col min="5115" max="5115" width="9.85546875" style="78" customWidth="1"/>
    <col min="5116" max="5116" width="16.28515625" style="78" customWidth="1"/>
    <col min="5117" max="5117" width="35.42578125" style="78" customWidth="1"/>
    <col min="5118" max="5118" width="0.140625" style="78" customWidth="1"/>
    <col min="5119" max="5119" width="33.85546875" style="78" customWidth="1"/>
    <col min="5120" max="5120" width="14" style="78" customWidth="1"/>
    <col min="5121" max="5366" width="8.85546875" style="78"/>
    <col min="5367" max="5367" width="7.42578125" style="78" customWidth="1"/>
    <col min="5368" max="5368" width="45.7109375" style="78" customWidth="1"/>
    <col min="5369" max="5369" width="11" style="78" customWidth="1"/>
    <col min="5370" max="5370" width="10.28515625" style="78" customWidth="1"/>
    <col min="5371" max="5371" width="9.85546875" style="78" customWidth="1"/>
    <col min="5372" max="5372" width="16.28515625" style="78" customWidth="1"/>
    <col min="5373" max="5373" width="35.42578125" style="78" customWidth="1"/>
    <col min="5374" max="5374" width="0.140625" style="78" customWidth="1"/>
    <col min="5375" max="5375" width="33.85546875" style="78" customWidth="1"/>
    <col min="5376" max="5376" width="14" style="78" customWidth="1"/>
    <col min="5377" max="5622" width="8.85546875" style="78"/>
    <col min="5623" max="5623" width="7.42578125" style="78" customWidth="1"/>
    <col min="5624" max="5624" width="45.7109375" style="78" customWidth="1"/>
    <col min="5625" max="5625" width="11" style="78" customWidth="1"/>
    <col min="5626" max="5626" width="10.28515625" style="78" customWidth="1"/>
    <col min="5627" max="5627" width="9.85546875" style="78" customWidth="1"/>
    <col min="5628" max="5628" width="16.28515625" style="78" customWidth="1"/>
    <col min="5629" max="5629" width="35.42578125" style="78" customWidth="1"/>
    <col min="5630" max="5630" width="0.140625" style="78" customWidth="1"/>
    <col min="5631" max="5631" width="33.85546875" style="78" customWidth="1"/>
    <col min="5632" max="5632" width="14" style="78" customWidth="1"/>
    <col min="5633" max="5878" width="8.85546875" style="78"/>
    <col min="5879" max="5879" width="7.42578125" style="78" customWidth="1"/>
    <col min="5880" max="5880" width="45.7109375" style="78" customWidth="1"/>
    <col min="5881" max="5881" width="11" style="78" customWidth="1"/>
    <col min="5882" max="5882" width="10.28515625" style="78" customWidth="1"/>
    <col min="5883" max="5883" width="9.85546875" style="78" customWidth="1"/>
    <col min="5884" max="5884" width="16.28515625" style="78" customWidth="1"/>
    <col min="5885" max="5885" width="35.42578125" style="78" customWidth="1"/>
    <col min="5886" max="5886" width="0.140625" style="78" customWidth="1"/>
    <col min="5887" max="5887" width="33.85546875" style="78" customWidth="1"/>
    <col min="5888" max="5888" width="14" style="78" customWidth="1"/>
    <col min="5889" max="6134" width="8.85546875" style="78"/>
    <col min="6135" max="6135" width="7.42578125" style="78" customWidth="1"/>
    <col min="6136" max="6136" width="45.7109375" style="78" customWidth="1"/>
    <col min="6137" max="6137" width="11" style="78" customWidth="1"/>
    <col min="6138" max="6138" width="10.28515625" style="78" customWidth="1"/>
    <col min="6139" max="6139" width="9.85546875" style="78" customWidth="1"/>
    <col min="6140" max="6140" width="16.28515625" style="78" customWidth="1"/>
    <col min="6141" max="6141" width="35.42578125" style="78" customWidth="1"/>
    <col min="6142" max="6142" width="0.140625" style="78" customWidth="1"/>
    <col min="6143" max="6143" width="33.85546875" style="78" customWidth="1"/>
    <col min="6144" max="6144" width="14" style="78" customWidth="1"/>
    <col min="6145" max="6390" width="8.85546875" style="78"/>
    <col min="6391" max="6391" width="7.42578125" style="78" customWidth="1"/>
    <col min="6392" max="6392" width="45.7109375" style="78" customWidth="1"/>
    <col min="6393" max="6393" width="11" style="78" customWidth="1"/>
    <col min="6394" max="6394" width="10.28515625" style="78" customWidth="1"/>
    <col min="6395" max="6395" width="9.85546875" style="78" customWidth="1"/>
    <col min="6396" max="6396" width="16.28515625" style="78" customWidth="1"/>
    <col min="6397" max="6397" width="35.42578125" style="78" customWidth="1"/>
    <col min="6398" max="6398" width="0.140625" style="78" customWidth="1"/>
    <col min="6399" max="6399" width="33.85546875" style="78" customWidth="1"/>
    <col min="6400" max="6400" width="14" style="78" customWidth="1"/>
    <col min="6401" max="6646" width="8.85546875" style="78"/>
    <col min="6647" max="6647" width="7.42578125" style="78" customWidth="1"/>
    <col min="6648" max="6648" width="45.7109375" style="78" customWidth="1"/>
    <col min="6649" max="6649" width="11" style="78" customWidth="1"/>
    <col min="6650" max="6650" width="10.28515625" style="78" customWidth="1"/>
    <col min="6651" max="6651" width="9.85546875" style="78" customWidth="1"/>
    <col min="6652" max="6652" width="16.28515625" style="78" customWidth="1"/>
    <col min="6653" max="6653" width="35.42578125" style="78" customWidth="1"/>
    <col min="6654" max="6654" width="0.140625" style="78" customWidth="1"/>
    <col min="6655" max="6655" width="33.85546875" style="78" customWidth="1"/>
    <col min="6656" max="6656" width="14" style="78" customWidth="1"/>
    <col min="6657" max="6902" width="8.85546875" style="78"/>
    <col min="6903" max="6903" width="7.42578125" style="78" customWidth="1"/>
    <col min="6904" max="6904" width="45.7109375" style="78" customWidth="1"/>
    <col min="6905" max="6905" width="11" style="78" customWidth="1"/>
    <col min="6906" max="6906" width="10.28515625" style="78" customWidth="1"/>
    <col min="6907" max="6907" width="9.85546875" style="78" customWidth="1"/>
    <col min="6908" max="6908" width="16.28515625" style="78" customWidth="1"/>
    <col min="6909" max="6909" width="35.42578125" style="78" customWidth="1"/>
    <col min="6910" max="6910" width="0.140625" style="78" customWidth="1"/>
    <col min="6911" max="6911" width="33.85546875" style="78" customWidth="1"/>
    <col min="6912" max="6912" width="14" style="78" customWidth="1"/>
    <col min="6913" max="7158" width="8.85546875" style="78"/>
    <col min="7159" max="7159" width="7.42578125" style="78" customWidth="1"/>
    <col min="7160" max="7160" width="45.7109375" style="78" customWidth="1"/>
    <col min="7161" max="7161" width="11" style="78" customWidth="1"/>
    <col min="7162" max="7162" width="10.28515625" style="78" customWidth="1"/>
    <col min="7163" max="7163" width="9.85546875" style="78" customWidth="1"/>
    <col min="7164" max="7164" width="16.28515625" style="78" customWidth="1"/>
    <col min="7165" max="7165" width="35.42578125" style="78" customWidth="1"/>
    <col min="7166" max="7166" width="0.140625" style="78" customWidth="1"/>
    <col min="7167" max="7167" width="33.85546875" style="78" customWidth="1"/>
    <col min="7168" max="7168" width="14" style="78" customWidth="1"/>
    <col min="7169" max="7414" width="8.85546875" style="78"/>
    <col min="7415" max="7415" width="7.42578125" style="78" customWidth="1"/>
    <col min="7416" max="7416" width="45.7109375" style="78" customWidth="1"/>
    <col min="7417" max="7417" width="11" style="78" customWidth="1"/>
    <col min="7418" max="7418" width="10.28515625" style="78" customWidth="1"/>
    <col min="7419" max="7419" width="9.85546875" style="78" customWidth="1"/>
    <col min="7420" max="7420" width="16.28515625" style="78" customWidth="1"/>
    <col min="7421" max="7421" width="35.42578125" style="78" customWidth="1"/>
    <col min="7422" max="7422" width="0.140625" style="78" customWidth="1"/>
    <col min="7423" max="7423" width="33.85546875" style="78" customWidth="1"/>
    <col min="7424" max="7424" width="14" style="78" customWidth="1"/>
    <col min="7425" max="7670" width="8.85546875" style="78"/>
    <col min="7671" max="7671" width="7.42578125" style="78" customWidth="1"/>
    <col min="7672" max="7672" width="45.7109375" style="78" customWidth="1"/>
    <col min="7673" max="7673" width="11" style="78" customWidth="1"/>
    <col min="7674" max="7674" width="10.28515625" style="78" customWidth="1"/>
    <col min="7675" max="7675" width="9.85546875" style="78" customWidth="1"/>
    <col min="7676" max="7676" width="16.28515625" style="78" customWidth="1"/>
    <col min="7677" max="7677" width="35.42578125" style="78" customWidth="1"/>
    <col min="7678" max="7678" width="0.140625" style="78" customWidth="1"/>
    <col min="7679" max="7679" width="33.85546875" style="78" customWidth="1"/>
    <col min="7680" max="7680" width="14" style="78" customWidth="1"/>
    <col min="7681" max="7926" width="8.85546875" style="78"/>
    <col min="7927" max="7927" width="7.42578125" style="78" customWidth="1"/>
    <col min="7928" max="7928" width="45.7109375" style="78" customWidth="1"/>
    <col min="7929" max="7929" width="11" style="78" customWidth="1"/>
    <col min="7930" max="7930" width="10.28515625" style="78" customWidth="1"/>
    <col min="7931" max="7931" width="9.85546875" style="78" customWidth="1"/>
    <col min="7932" max="7932" width="16.28515625" style="78" customWidth="1"/>
    <col min="7933" max="7933" width="35.42578125" style="78" customWidth="1"/>
    <col min="7934" max="7934" width="0.140625" style="78" customWidth="1"/>
    <col min="7935" max="7935" width="33.85546875" style="78" customWidth="1"/>
    <col min="7936" max="7936" width="14" style="78" customWidth="1"/>
    <col min="7937" max="8182" width="8.85546875" style="78"/>
    <col min="8183" max="8183" width="7.42578125" style="78" customWidth="1"/>
    <col min="8184" max="8184" width="45.7109375" style="78" customWidth="1"/>
    <col min="8185" max="8185" width="11" style="78" customWidth="1"/>
    <col min="8186" max="8186" width="10.28515625" style="78" customWidth="1"/>
    <col min="8187" max="8187" width="9.85546875" style="78" customWidth="1"/>
    <col min="8188" max="8188" width="16.28515625" style="78" customWidth="1"/>
    <col min="8189" max="8189" width="35.42578125" style="78" customWidth="1"/>
    <col min="8190" max="8190" width="0.140625" style="78" customWidth="1"/>
    <col min="8191" max="8191" width="33.85546875" style="78" customWidth="1"/>
    <col min="8192" max="8192" width="14" style="78" customWidth="1"/>
    <col min="8193" max="8438" width="8.85546875" style="78"/>
    <col min="8439" max="8439" width="7.42578125" style="78" customWidth="1"/>
    <col min="8440" max="8440" width="45.7109375" style="78" customWidth="1"/>
    <col min="8441" max="8441" width="11" style="78" customWidth="1"/>
    <col min="8442" max="8442" width="10.28515625" style="78" customWidth="1"/>
    <col min="8443" max="8443" width="9.85546875" style="78" customWidth="1"/>
    <col min="8444" max="8444" width="16.28515625" style="78" customWidth="1"/>
    <col min="8445" max="8445" width="35.42578125" style="78" customWidth="1"/>
    <col min="8446" max="8446" width="0.140625" style="78" customWidth="1"/>
    <col min="8447" max="8447" width="33.85546875" style="78" customWidth="1"/>
    <col min="8448" max="8448" width="14" style="78" customWidth="1"/>
    <col min="8449" max="8694" width="8.85546875" style="78"/>
    <col min="8695" max="8695" width="7.42578125" style="78" customWidth="1"/>
    <col min="8696" max="8696" width="45.7109375" style="78" customWidth="1"/>
    <col min="8697" max="8697" width="11" style="78" customWidth="1"/>
    <col min="8698" max="8698" width="10.28515625" style="78" customWidth="1"/>
    <col min="8699" max="8699" width="9.85546875" style="78" customWidth="1"/>
    <col min="8700" max="8700" width="16.28515625" style="78" customWidth="1"/>
    <col min="8701" max="8701" width="35.42578125" style="78" customWidth="1"/>
    <col min="8702" max="8702" width="0.140625" style="78" customWidth="1"/>
    <col min="8703" max="8703" width="33.85546875" style="78" customWidth="1"/>
    <col min="8704" max="8704" width="14" style="78" customWidth="1"/>
    <col min="8705" max="8950" width="8.85546875" style="78"/>
    <col min="8951" max="8951" width="7.42578125" style="78" customWidth="1"/>
    <col min="8952" max="8952" width="45.7109375" style="78" customWidth="1"/>
    <col min="8953" max="8953" width="11" style="78" customWidth="1"/>
    <col min="8954" max="8954" width="10.28515625" style="78" customWidth="1"/>
    <col min="8955" max="8955" width="9.85546875" style="78" customWidth="1"/>
    <col min="8956" max="8956" width="16.28515625" style="78" customWidth="1"/>
    <col min="8957" max="8957" width="35.42578125" style="78" customWidth="1"/>
    <col min="8958" max="8958" width="0.140625" style="78" customWidth="1"/>
    <col min="8959" max="8959" width="33.85546875" style="78" customWidth="1"/>
    <col min="8960" max="8960" width="14" style="78" customWidth="1"/>
    <col min="8961" max="9206" width="8.85546875" style="78"/>
    <col min="9207" max="9207" width="7.42578125" style="78" customWidth="1"/>
    <col min="9208" max="9208" width="45.7109375" style="78" customWidth="1"/>
    <col min="9209" max="9209" width="11" style="78" customWidth="1"/>
    <col min="9210" max="9210" width="10.28515625" style="78" customWidth="1"/>
    <col min="9211" max="9211" width="9.85546875" style="78" customWidth="1"/>
    <col min="9212" max="9212" width="16.28515625" style="78" customWidth="1"/>
    <col min="9213" max="9213" width="35.42578125" style="78" customWidth="1"/>
    <col min="9214" max="9214" width="0.140625" style="78" customWidth="1"/>
    <col min="9215" max="9215" width="33.85546875" style="78" customWidth="1"/>
    <col min="9216" max="9216" width="14" style="78" customWidth="1"/>
    <col min="9217" max="9462" width="8.85546875" style="78"/>
    <col min="9463" max="9463" width="7.42578125" style="78" customWidth="1"/>
    <col min="9464" max="9464" width="45.7109375" style="78" customWidth="1"/>
    <col min="9465" max="9465" width="11" style="78" customWidth="1"/>
    <col min="9466" max="9466" width="10.28515625" style="78" customWidth="1"/>
    <col min="9467" max="9467" width="9.85546875" style="78" customWidth="1"/>
    <col min="9468" max="9468" width="16.28515625" style="78" customWidth="1"/>
    <col min="9469" max="9469" width="35.42578125" style="78" customWidth="1"/>
    <col min="9470" max="9470" width="0.140625" style="78" customWidth="1"/>
    <col min="9471" max="9471" width="33.85546875" style="78" customWidth="1"/>
    <col min="9472" max="9472" width="14" style="78" customWidth="1"/>
    <col min="9473" max="9718" width="8.85546875" style="78"/>
    <col min="9719" max="9719" width="7.42578125" style="78" customWidth="1"/>
    <col min="9720" max="9720" width="45.7109375" style="78" customWidth="1"/>
    <col min="9721" max="9721" width="11" style="78" customWidth="1"/>
    <col min="9722" max="9722" width="10.28515625" style="78" customWidth="1"/>
    <col min="9723" max="9723" width="9.85546875" style="78" customWidth="1"/>
    <col min="9724" max="9724" width="16.28515625" style="78" customWidth="1"/>
    <col min="9725" max="9725" width="35.42578125" style="78" customWidth="1"/>
    <col min="9726" max="9726" width="0.140625" style="78" customWidth="1"/>
    <col min="9727" max="9727" width="33.85546875" style="78" customWidth="1"/>
    <col min="9728" max="9728" width="14" style="78" customWidth="1"/>
    <col min="9729" max="9974" width="8.85546875" style="78"/>
    <col min="9975" max="9975" width="7.42578125" style="78" customWidth="1"/>
    <col min="9976" max="9976" width="45.7109375" style="78" customWidth="1"/>
    <col min="9977" max="9977" width="11" style="78" customWidth="1"/>
    <col min="9978" max="9978" width="10.28515625" style="78" customWidth="1"/>
    <col min="9979" max="9979" width="9.85546875" style="78" customWidth="1"/>
    <col min="9980" max="9980" width="16.28515625" style="78" customWidth="1"/>
    <col min="9981" max="9981" width="35.42578125" style="78" customWidth="1"/>
    <col min="9982" max="9982" width="0.140625" style="78" customWidth="1"/>
    <col min="9983" max="9983" width="33.85546875" style="78" customWidth="1"/>
    <col min="9984" max="9984" width="14" style="78" customWidth="1"/>
    <col min="9985" max="10230" width="8.85546875" style="78"/>
    <col min="10231" max="10231" width="7.42578125" style="78" customWidth="1"/>
    <col min="10232" max="10232" width="45.7109375" style="78" customWidth="1"/>
    <col min="10233" max="10233" width="11" style="78" customWidth="1"/>
    <col min="10234" max="10234" width="10.28515625" style="78" customWidth="1"/>
    <col min="10235" max="10235" width="9.85546875" style="78" customWidth="1"/>
    <col min="10236" max="10236" width="16.28515625" style="78" customWidth="1"/>
    <col min="10237" max="10237" width="35.42578125" style="78" customWidth="1"/>
    <col min="10238" max="10238" width="0.140625" style="78" customWidth="1"/>
    <col min="10239" max="10239" width="33.85546875" style="78" customWidth="1"/>
    <col min="10240" max="10240" width="14" style="78" customWidth="1"/>
    <col min="10241" max="10486" width="8.85546875" style="78"/>
    <col min="10487" max="10487" width="7.42578125" style="78" customWidth="1"/>
    <col min="10488" max="10488" width="45.7109375" style="78" customWidth="1"/>
    <col min="10489" max="10489" width="11" style="78" customWidth="1"/>
    <col min="10490" max="10490" width="10.28515625" style="78" customWidth="1"/>
    <col min="10491" max="10491" width="9.85546875" style="78" customWidth="1"/>
    <col min="10492" max="10492" width="16.28515625" style="78" customWidth="1"/>
    <col min="10493" max="10493" width="35.42578125" style="78" customWidth="1"/>
    <col min="10494" max="10494" width="0.140625" style="78" customWidth="1"/>
    <col min="10495" max="10495" width="33.85546875" style="78" customWidth="1"/>
    <col min="10496" max="10496" width="14" style="78" customWidth="1"/>
    <col min="10497" max="10742" width="8.85546875" style="78"/>
    <col min="10743" max="10743" width="7.42578125" style="78" customWidth="1"/>
    <col min="10744" max="10744" width="45.7109375" style="78" customWidth="1"/>
    <col min="10745" max="10745" width="11" style="78" customWidth="1"/>
    <col min="10746" max="10746" width="10.28515625" style="78" customWidth="1"/>
    <col min="10747" max="10747" width="9.85546875" style="78" customWidth="1"/>
    <col min="10748" max="10748" width="16.28515625" style="78" customWidth="1"/>
    <col min="10749" max="10749" width="35.42578125" style="78" customWidth="1"/>
    <col min="10750" max="10750" width="0.140625" style="78" customWidth="1"/>
    <col min="10751" max="10751" width="33.85546875" style="78" customWidth="1"/>
    <col min="10752" max="10752" width="14" style="78" customWidth="1"/>
    <col min="10753" max="10998" width="8.85546875" style="78"/>
    <col min="10999" max="10999" width="7.42578125" style="78" customWidth="1"/>
    <col min="11000" max="11000" width="45.7109375" style="78" customWidth="1"/>
    <col min="11001" max="11001" width="11" style="78" customWidth="1"/>
    <col min="11002" max="11002" width="10.28515625" style="78" customWidth="1"/>
    <col min="11003" max="11003" width="9.85546875" style="78" customWidth="1"/>
    <col min="11004" max="11004" width="16.28515625" style="78" customWidth="1"/>
    <col min="11005" max="11005" width="35.42578125" style="78" customWidth="1"/>
    <col min="11006" max="11006" width="0.140625" style="78" customWidth="1"/>
    <col min="11007" max="11007" width="33.85546875" style="78" customWidth="1"/>
    <col min="11008" max="11008" width="14" style="78" customWidth="1"/>
    <col min="11009" max="11254" width="8.85546875" style="78"/>
    <col min="11255" max="11255" width="7.42578125" style="78" customWidth="1"/>
    <col min="11256" max="11256" width="45.7109375" style="78" customWidth="1"/>
    <col min="11257" max="11257" width="11" style="78" customWidth="1"/>
    <col min="11258" max="11258" width="10.28515625" style="78" customWidth="1"/>
    <col min="11259" max="11259" width="9.85546875" style="78" customWidth="1"/>
    <col min="11260" max="11260" width="16.28515625" style="78" customWidth="1"/>
    <col min="11261" max="11261" width="35.42578125" style="78" customWidth="1"/>
    <col min="11262" max="11262" width="0.140625" style="78" customWidth="1"/>
    <col min="11263" max="11263" width="33.85546875" style="78" customWidth="1"/>
    <col min="11264" max="11264" width="14" style="78" customWidth="1"/>
    <col min="11265" max="11510" width="8.85546875" style="78"/>
    <col min="11511" max="11511" width="7.42578125" style="78" customWidth="1"/>
    <col min="11512" max="11512" width="45.7109375" style="78" customWidth="1"/>
    <col min="11513" max="11513" width="11" style="78" customWidth="1"/>
    <col min="11514" max="11514" width="10.28515625" style="78" customWidth="1"/>
    <col min="11515" max="11515" width="9.85546875" style="78" customWidth="1"/>
    <col min="11516" max="11516" width="16.28515625" style="78" customWidth="1"/>
    <col min="11517" max="11517" width="35.42578125" style="78" customWidth="1"/>
    <col min="11518" max="11518" width="0.140625" style="78" customWidth="1"/>
    <col min="11519" max="11519" width="33.85546875" style="78" customWidth="1"/>
    <col min="11520" max="11520" width="14" style="78" customWidth="1"/>
    <col min="11521" max="11766" width="8.85546875" style="78"/>
    <col min="11767" max="11767" width="7.42578125" style="78" customWidth="1"/>
    <col min="11768" max="11768" width="45.7109375" style="78" customWidth="1"/>
    <col min="11769" max="11769" width="11" style="78" customWidth="1"/>
    <col min="11770" max="11770" width="10.28515625" style="78" customWidth="1"/>
    <col min="11771" max="11771" width="9.85546875" style="78" customWidth="1"/>
    <col min="11772" max="11772" width="16.28515625" style="78" customWidth="1"/>
    <col min="11773" max="11773" width="35.42578125" style="78" customWidth="1"/>
    <col min="11774" max="11774" width="0.140625" style="78" customWidth="1"/>
    <col min="11775" max="11775" width="33.85546875" style="78" customWidth="1"/>
    <col min="11776" max="11776" width="14" style="78" customWidth="1"/>
    <col min="11777" max="12022" width="8.85546875" style="78"/>
    <col min="12023" max="12023" width="7.42578125" style="78" customWidth="1"/>
    <col min="12024" max="12024" width="45.7109375" style="78" customWidth="1"/>
    <col min="12025" max="12025" width="11" style="78" customWidth="1"/>
    <col min="12026" max="12026" width="10.28515625" style="78" customWidth="1"/>
    <col min="12027" max="12027" width="9.85546875" style="78" customWidth="1"/>
    <col min="12028" max="12028" width="16.28515625" style="78" customWidth="1"/>
    <col min="12029" max="12029" width="35.42578125" style="78" customWidth="1"/>
    <col min="12030" max="12030" width="0.140625" style="78" customWidth="1"/>
    <col min="12031" max="12031" width="33.85546875" style="78" customWidth="1"/>
    <col min="12032" max="12032" width="14" style="78" customWidth="1"/>
    <col min="12033" max="12278" width="8.85546875" style="78"/>
    <col min="12279" max="12279" width="7.42578125" style="78" customWidth="1"/>
    <col min="12280" max="12280" width="45.7109375" style="78" customWidth="1"/>
    <col min="12281" max="12281" width="11" style="78" customWidth="1"/>
    <col min="12282" max="12282" width="10.28515625" style="78" customWidth="1"/>
    <col min="12283" max="12283" width="9.85546875" style="78" customWidth="1"/>
    <col min="12284" max="12284" width="16.28515625" style="78" customWidth="1"/>
    <col min="12285" max="12285" width="35.42578125" style="78" customWidth="1"/>
    <col min="12286" max="12286" width="0.140625" style="78" customWidth="1"/>
    <col min="12287" max="12287" width="33.85546875" style="78" customWidth="1"/>
    <col min="12288" max="12288" width="14" style="78" customWidth="1"/>
    <col min="12289" max="12534" width="8.85546875" style="78"/>
    <col min="12535" max="12535" width="7.42578125" style="78" customWidth="1"/>
    <col min="12536" max="12536" width="45.7109375" style="78" customWidth="1"/>
    <col min="12537" max="12537" width="11" style="78" customWidth="1"/>
    <col min="12538" max="12538" width="10.28515625" style="78" customWidth="1"/>
    <col min="12539" max="12539" width="9.85546875" style="78" customWidth="1"/>
    <col min="12540" max="12540" width="16.28515625" style="78" customWidth="1"/>
    <col min="12541" max="12541" width="35.42578125" style="78" customWidth="1"/>
    <col min="12542" max="12542" width="0.140625" style="78" customWidth="1"/>
    <col min="12543" max="12543" width="33.85546875" style="78" customWidth="1"/>
    <col min="12544" max="12544" width="14" style="78" customWidth="1"/>
    <col min="12545" max="12790" width="8.85546875" style="78"/>
    <col min="12791" max="12791" width="7.42578125" style="78" customWidth="1"/>
    <col min="12792" max="12792" width="45.7109375" style="78" customWidth="1"/>
    <col min="12793" max="12793" width="11" style="78" customWidth="1"/>
    <col min="12794" max="12794" width="10.28515625" style="78" customWidth="1"/>
    <col min="12795" max="12795" width="9.85546875" style="78" customWidth="1"/>
    <col min="12796" max="12796" width="16.28515625" style="78" customWidth="1"/>
    <col min="12797" max="12797" width="35.42578125" style="78" customWidth="1"/>
    <col min="12798" max="12798" width="0.140625" style="78" customWidth="1"/>
    <col min="12799" max="12799" width="33.85546875" style="78" customWidth="1"/>
    <col min="12800" max="12800" width="14" style="78" customWidth="1"/>
    <col min="12801" max="13046" width="8.85546875" style="78"/>
    <col min="13047" max="13047" width="7.42578125" style="78" customWidth="1"/>
    <col min="13048" max="13048" width="45.7109375" style="78" customWidth="1"/>
    <col min="13049" max="13049" width="11" style="78" customWidth="1"/>
    <col min="13050" max="13050" width="10.28515625" style="78" customWidth="1"/>
    <col min="13051" max="13051" width="9.85546875" style="78" customWidth="1"/>
    <col min="13052" max="13052" width="16.28515625" style="78" customWidth="1"/>
    <col min="13053" max="13053" width="35.42578125" style="78" customWidth="1"/>
    <col min="13054" max="13054" width="0.140625" style="78" customWidth="1"/>
    <col min="13055" max="13055" width="33.85546875" style="78" customWidth="1"/>
    <col min="13056" max="13056" width="14" style="78" customWidth="1"/>
    <col min="13057" max="13302" width="8.85546875" style="78"/>
    <col min="13303" max="13303" width="7.42578125" style="78" customWidth="1"/>
    <col min="13304" max="13304" width="45.7109375" style="78" customWidth="1"/>
    <col min="13305" max="13305" width="11" style="78" customWidth="1"/>
    <col min="13306" max="13306" width="10.28515625" style="78" customWidth="1"/>
    <col min="13307" max="13307" width="9.85546875" style="78" customWidth="1"/>
    <col min="13308" max="13308" width="16.28515625" style="78" customWidth="1"/>
    <col min="13309" max="13309" width="35.42578125" style="78" customWidth="1"/>
    <col min="13310" max="13310" width="0.140625" style="78" customWidth="1"/>
    <col min="13311" max="13311" width="33.85546875" style="78" customWidth="1"/>
    <col min="13312" max="13312" width="14" style="78" customWidth="1"/>
    <col min="13313" max="13558" width="8.85546875" style="78"/>
    <col min="13559" max="13559" width="7.42578125" style="78" customWidth="1"/>
    <col min="13560" max="13560" width="45.7109375" style="78" customWidth="1"/>
    <col min="13561" max="13561" width="11" style="78" customWidth="1"/>
    <col min="13562" max="13562" width="10.28515625" style="78" customWidth="1"/>
    <col min="13563" max="13563" width="9.85546875" style="78" customWidth="1"/>
    <col min="13564" max="13564" width="16.28515625" style="78" customWidth="1"/>
    <col min="13565" max="13565" width="35.42578125" style="78" customWidth="1"/>
    <col min="13566" max="13566" width="0.140625" style="78" customWidth="1"/>
    <col min="13567" max="13567" width="33.85546875" style="78" customWidth="1"/>
    <col min="13568" max="13568" width="14" style="78" customWidth="1"/>
    <col min="13569" max="13814" width="8.85546875" style="78"/>
    <col min="13815" max="13815" width="7.42578125" style="78" customWidth="1"/>
    <col min="13816" max="13816" width="45.7109375" style="78" customWidth="1"/>
    <col min="13817" max="13817" width="11" style="78" customWidth="1"/>
    <col min="13818" max="13818" width="10.28515625" style="78" customWidth="1"/>
    <col min="13819" max="13819" width="9.85546875" style="78" customWidth="1"/>
    <col min="13820" max="13820" width="16.28515625" style="78" customWidth="1"/>
    <col min="13821" max="13821" width="35.42578125" style="78" customWidth="1"/>
    <col min="13822" max="13822" width="0.140625" style="78" customWidth="1"/>
    <col min="13823" max="13823" width="33.85546875" style="78" customWidth="1"/>
    <col min="13824" max="13824" width="14" style="78" customWidth="1"/>
    <col min="13825" max="14070" width="8.85546875" style="78"/>
    <col min="14071" max="14071" width="7.42578125" style="78" customWidth="1"/>
    <col min="14072" max="14072" width="45.7109375" style="78" customWidth="1"/>
    <col min="14073" max="14073" width="11" style="78" customWidth="1"/>
    <col min="14074" max="14074" width="10.28515625" style="78" customWidth="1"/>
    <col min="14075" max="14075" width="9.85546875" style="78" customWidth="1"/>
    <col min="14076" max="14076" width="16.28515625" style="78" customWidth="1"/>
    <col min="14077" max="14077" width="35.42578125" style="78" customWidth="1"/>
    <col min="14078" max="14078" width="0.140625" style="78" customWidth="1"/>
    <col min="14079" max="14079" width="33.85546875" style="78" customWidth="1"/>
    <col min="14080" max="14080" width="14" style="78" customWidth="1"/>
    <col min="14081" max="14326" width="8.85546875" style="78"/>
    <col min="14327" max="14327" width="7.42578125" style="78" customWidth="1"/>
    <col min="14328" max="14328" width="45.7109375" style="78" customWidth="1"/>
    <col min="14329" max="14329" width="11" style="78" customWidth="1"/>
    <col min="14330" max="14330" width="10.28515625" style="78" customWidth="1"/>
    <col min="14331" max="14331" width="9.85546875" style="78" customWidth="1"/>
    <col min="14332" max="14332" width="16.28515625" style="78" customWidth="1"/>
    <col min="14333" max="14333" width="35.42578125" style="78" customWidth="1"/>
    <col min="14334" max="14334" width="0.140625" style="78" customWidth="1"/>
    <col min="14335" max="14335" width="33.85546875" style="78" customWidth="1"/>
    <col min="14336" max="14336" width="14" style="78" customWidth="1"/>
    <col min="14337" max="14582" width="8.85546875" style="78"/>
    <col min="14583" max="14583" width="7.42578125" style="78" customWidth="1"/>
    <col min="14584" max="14584" width="45.7109375" style="78" customWidth="1"/>
    <col min="14585" max="14585" width="11" style="78" customWidth="1"/>
    <col min="14586" max="14586" width="10.28515625" style="78" customWidth="1"/>
    <col min="14587" max="14587" width="9.85546875" style="78" customWidth="1"/>
    <col min="14588" max="14588" width="16.28515625" style="78" customWidth="1"/>
    <col min="14589" max="14589" width="35.42578125" style="78" customWidth="1"/>
    <col min="14590" max="14590" width="0.140625" style="78" customWidth="1"/>
    <col min="14591" max="14591" width="33.85546875" style="78" customWidth="1"/>
    <col min="14592" max="14592" width="14" style="78" customWidth="1"/>
    <col min="14593" max="14838" width="8.85546875" style="78"/>
    <col min="14839" max="14839" width="7.42578125" style="78" customWidth="1"/>
    <col min="14840" max="14840" width="45.7109375" style="78" customWidth="1"/>
    <col min="14841" max="14841" width="11" style="78" customWidth="1"/>
    <col min="14842" max="14842" width="10.28515625" style="78" customWidth="1"/>
    <col min="14843" max="14843" width="9.85546875" style="78" customWidth="1"/>
    <col min="14844" max="14844" width="16.28515625" style="78" customWidth="1"/>
    <col min="14845" max="14845" width="35.42578125" style="78" customWidth="1"/>
    <col min="14846" max="14846" width="0.140625" style="78" customWidth="1"/>
    <col min="14847" max="14847" width="33.85546875" style="78" customWidth="1"/>
    <col min="14848" max="14848" width="14" style="78" customWidth="1"/>
    <col min="14849" max="15094" width="8.85546875" style="78"/>
    <col min="15095" max="15095" width="7.42578125" style="78" customWidth="1"/>
    <col min="15096" max="15096" width="45.7109375" style="78" customWidth="1"/>
    <col min="15097" max="15097" width="11" style="78" customWidth="1"/>
    <col min="15098" max="15098" width="10.28515625" style="78" customWidth="1"/>
    <col min="15099" max="15099" width="9.85546875" style="78" customWidth="1"/>
    <col min="15100" max="15100" width="16.28515625" style="78" customWidth="1"/>
    <col min="15101" max="15101" width="35.42578125" style="78" customWidth="1"/>
    <col min="15102" max="15102" width="0.140625" style="78" customWidth="1"/>
    <col min="15103" max="15103" width="33.85546875" style="78" customWidth="1"/>
    <col min="15104" max="15104" width="14" style="78" customWidth="1"/>
    <col min="15105" max="15350" width="8.85546875" style="78"/>
    <col min="15351" max="15351" width="7.42578125" style="78" customWidth="1"/>
    <col min="15352" max="15352" width="45.7109375" style="78" customWidth="1"/>
    <col min="15353" max="15353" width="11" style="78" customWidth="1"/>
    <col min="15354" max="15354" width="10.28515625" style="78" customWidth="1"/>
    <col min="15355" max="15355" width="9.85546875" style="78" customWidth="1"/>
    <col min="15356" max="15356" width="16.28515625" style="78" customWidth="1"/>
    <col min="15357" max="15357" width="35.42578125" style="78" customWidth="1"/>
    <col min="15358" max="15358" width="0.140625" style="78" customWidth="1"/>
    <col min="15359" max="15359" width="33.85546875" style="78" customWidth="1"/>
    <col min="15360" max="15360" width="14" style="78" customWidth="1"/>
    <col min="15361" max="15606" width="8.85546875" style="78"/>
    <col min="15607" max="15607" width="7.42578125" style="78" customWidth="1"/>
    <col min="15608" max="15608" width="45.7109375" style="78" customWidth="1"/>
    <col min="15609" max="15609" width="11" style="78" customWidth="1"/>
    <col min="15610" max="15610" width="10.28515625" style="78" customWidth="1"/>
    <col min="15611" max="15611" width="9.85546875" style="78" customWidth="1"/>
    <col min="15612" max="15612" width="16.28515625" style="78" customWidth="1"/>
    <col min="15613" max="15613" width="35.42578125" style="78" customWidth="1"/>
    <col min="15614" max="15614" width="0.140625" style="78" customWidth="1"/>
    <col min="15615" max="15615" width="33.85546875" style="78" customWidth="1"/>
    <col min="15616" max="15616" width="14" style="78" customWidth="1"/>
    <col min="15617" max="15862" width="8.85546875" style="78"/>
    <col min="15863" max="15863" width="7.42578125" style="78" customWidth="1"/>
    <col min="15864" max="15864" width="45.7109375" style="78" customWidth="1"/>
    <col min="15865" max="15865" width="11" style="78" customWidth="1"/>
    <col min="15866" max="15866" width="10.28515625" style="78" customWidth="1"/>
    <col min="15867" max="15867" width="9.85546875" style="78" customWidth="1"/>
    <col min="15868" max="15868" width="16.28515625" style="78" customWidth="1"/>
    <col min="15869" max="15869" width="35.42578125" style="78" customWidth="1"/>
    <col min="15870" max="15870" width="0.140625" style="78" customWidth="1"/>
    <col min="15871" max="15871" width="33.85546875" style="78" customWidth="1"/>
    <col min="15872" max="15872" width="14" style="78" customWidth="1"/>
    <col min="15873" max="16118" width="8.85546875" style="78"/>
    <col min="16119" max="16119" width="7.42578125" style="78" customWidth="1"/>
    <col min="16120" max="16120" width="45.7109375" style="78" customWidth="1"/>
    <col min="16121" max="16121" width="11" style="78" customWidth="1"/>
    <col min="16122" max="16122" width="10.28515625" style="78" customWidth="1"/>
    <col min="16123" max="16123" width="9.85546875" style="78" customWidth="1"/>
    <col min="16124" max="16124" width="16.28515625" style="78" customWidth="1"/>
    <col min="16125" max="16125" width="35.42578125" style="78" customWidth="1"/>
    <col min="16126" max="16126" width="0.140625" style="78" customWidth="1"/>
    <col min="16127" max="16127" width="33.85546875" style="78" customWidth="1"/>
    <col min="16128" max="16128" width="14" style="78" customWidth="1"/>
    <col min="16129" max="16384" width="8.85546875" style="78"/>
  </cols>
  <sheetData>
    <row r="1" spans="1:16" ht="63" customHeight="1" x14ac:dyDescent="0.25">
      <c r="A1" s="192"/>
      <c r="B1" s="192"/>
      <c r="C1" s="192"/>
      <c r="D1" s="192"/>
      <c r="E1" s="192"/>
      <c r="F1" s="192"/>
      <c r="G1" s="42" t="s">
        <v>118</v>
      </c>
      <c r="H1" s="42" t="s">
        <v>119</v>
      </c>
      <c r="I1" s="43" t="s">
        <v>106</v>
      </c>
      <c r="J1" s="42" t="s">
        <v>107</v>
      </c>
      <c r="K1" s="42" t="s">
        <v>108</v>
      </c>
      <c r="L1" s="44" t="s">
        <v>109</v>
      </c>
      <c r="M1" s="42" t="s">
        <v>110</v>
      </c>
      <c r="N1" s="42" t="s">
        <v>676</v>
      </c>
    </row>
    <row r="2" spans="1:16" ht="15" customHeight="1" x14ac:dyDescent="0.25">
      <c r="A2" s="148" t="s">
        <v>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6" x14ac:dyDescent="0.25">
      <c r="A3" s="5">
        <v>1</v>
      </c>
      <c r="B3" s="23" t="s">
        <v>1</v>
      </c>
      <c r="C3" s="25"/>
      <c r="D3" s="17" t="s">
        <v>126</v>
      </c>
      <c r="E3" s="17" t="s">
        <v>105</v>
      </c>
      <c r="F3" s="5" t="s">
        <v>2</v>
      </c>
      <c r="G3" s="1" t="s">
        <v>3</v>
      </c>
      <c r="H3" s="1" t="s">
        <v>3</v>
      </c>
      <c r="I3" s="1" t="s">
        <v>3</v>
      </c>
      <c r="J3" s="1" t="s">
        <v>3</v>
      </c>
      <c r="K3" s="1" t="s">
        <v>3</v>
      </c>
      <c r="L3" s="1" t="s">
        <v>3</v>
      </c>
      <c r="M3" s="1" t="s">
        <v>3</v>
      </c>
      <c r="N3" s="1" t="s">
        <v>3</v>
      </c>
    </row>
    <row r="4" spans="1:16" x14ac:dyDescent="0.25">
      <c r="A4" s="5"/>
      <c r="B4" s="23" t="s">
        <v>87</v>
      </c>
      <c r="C4" s="25"/>
      <c r="D4" s="79"/>
      <c r="E4" s="17"/>
      <c r="F4" s="5"/>
      <c r="G4" s="80" t="s">
        <v>665</v>
      </c>
      <c r="H4" s="80" t="s">
        <v>665</v>
      </c>
      <c r="I4" s="80" t="s">
        <v>665</v>
      </c>
      <c r="J4" s="80" t="s">
        <v>665</v>
      </c>
      <c r="K4" s="80" t="s">
        <v>665</v>
      </c>
      <c r="L4" s="80" t="s">
        <v>665</v>
      </c>
      <c r="M4" s="80" t="s">
        <v>665</v>
      </c>
      <c r="N4" s="80" t="s">
        <v>665</v>
      </c>
    </row>
    <row r="5" spans="1:16" x14ac:dyDescent="0.25">
      <c r="A5" s="79" t="s">
        <v>4</v>
      </c>
      <c r="B5" s="23" t="s">
        <v>5</v>
      </c>
      <c r="C5" s="26"/>
      <c r="D5" s="79"/>
      <c r="E5" s="79">
        <v>1</v>
      </c>
      <c r="F5" s="79">
        <v>1</v>
      </c>
      <c r="G5" s="1">
        <v>3430</v>
      </c>
      <c r="H5" s="1">
        <v>3430</v>
      </c>
      <c r="I5" s="1">
        <v>2859.58</v>
      </c>
      <c r="J5" s="1">
        <v>2859.58</v>
      </c>
      <c r="K5" s="1">
        <v>2859.58</v>
      </c>
      <c r="L5" s="1">
        <v>2859.58</v>
      </c>
      <c r="M5" s="1">
        <v>2859.58</v>
      </c>
      <c r="N5" s="1">
        <v>2859.58</v>
      </c>
    </row>
    <row r="6" spans="1:16" x14ac:dyDescent="0.25">
      <c r="A6" s="79" t="s">
        <v>6</v>
      </c>
      <c r="B6" s="23" t="s">
        <v>7</v>
      </c>
      <c r="C6" s="26"/>
      <c r="D6" s="32">
        <v>0.3</v>
      </c>
      <c r="E6" s="79"/>
      <c r="F6" s="81"/>
      <c r="G6" s="80">
        <f>ROUND(G5*$D6,2)</f>
        <v>1029</v>
      </c>
      <c r="H6" s="80">
        <f t="shared" ref="H6:N6" si="0">ROUND(H5*$D6,2)</f>
        <v>1029</v>
      </c>
      <c r="I6" s="80">
        <f t="shared" si="0"/>
        <v>857.87</v>
      </c>
      <c r="J6" s="80">
        <f t="shared" si="0"/>
        <v>857.87</v>
      </c>
      <c r="K6" s="80">
        <f t="shared" si="0"/>
        <v>857.87</v>
      </c>
      <c r="L6" s="80">
        <f t="shared" si="0"/>
        <v>857.87</v>
      </c>
      <c r="M6" s="80">
        <f t="shared" si="0"/>
        <v>857.87</v>
      </c>
      <c r="N6" s="80">
        <f t="shared" si="0"/>
        <v>857.87</v>
      </c>
      <c r="O6" s="125"/>
      <c r="P6" s="125"/>
    </row>
    <row r="7" spans="1:16" x14ac:dyDescent="0.25">
      <c r="A7" s="79" t="s">
        <v>18</v>
      </c>
      <c r="B7" s="23" t="s">
        <v>669</v>
      </c>
      <c r="C7" s="126"/>
      <c r="D7" s="31">
        <f>(1/220)*20%*7*15</f>
        <v>9.5454545454545459E-2</v>
      </c>
      <c r="E7" s="127"/>
      <c r="F7" s="31"/>
      <c r="G7" s="79"/>
      <c r="H7" s="79"/>
      <c r="I7" s="79"/>
      <c r="J7" s="80">
        <f>(J5+J6)*$D$7</f>
        <v>354.84750000000003</v>
      </c>
      <c r="K7" s="80"/>
      <c r="L7" s="80">
        <f t="shared" ref="L7" si="1">(L5+L6)*$D$7</f>
        <v>354.84750000000003</v>
      </c>
      <c r="M7" s="80"/>
      <c r="N7" s="80"/>
    </row>
    <row r="8" spans="1:16" x14ac:dyDescent="0.25">
      <c r="A8" s="79" t="s">
        <v>13</v>
      </c>
      <c r="B8" s="23" t="s">
        <v>538</v>
      </c>
      <c r="C8" s="126"/>
      <c r="D8" s="31">
        <f>(1/220)*20%*1*15</f>
        <v>1.3636363636363636E-2</v>
      </c>
      <c r="E8" s="79"/>
      <c r="F8" s="81"/>
      <c r="G8" s="79"/>
      <c r="H8" s="79"/>
      <c r="I8" s="79"/>
      <c r="J8" s="80">
        <f>(J5+J6)*$D8</f>
        <v>50.692499999999995</v>
      </c>
      <c r="K8" s="80"/>
      <c r="L8" s="80">
        <f>(L5+L6)*$D8</f>
        <v>50.692499999999995</v>
      </c>
      <c r="M8" s="80"/>
      <c r="N8" s="80"/>
    </row>
    <row r="9" spans="1:16" x14ac:dyDescent="0.25">
      <c r="A9" s="79" t="s">
        <v>21</v>
      </c>
      <c r="B9" s="23" t="s">
        <v>88</v>
      </c>
      <c r="C9" s="26"/>
      <c r="D9" s="79"/>
      <c r="E9" s="79"/>
      <c r="F9" s="81"/>
      <c r="G9" s="80"/>
      <c r="H9" s="80"/>
      <c r="I9" s="80"/>
      <c r="J9" s="80"/>
      <c r="K9" s="80"/>
      <c r="L9" s="80"/>
      <c r="M9" s="80"/>
      <c r="N9" s="80"/>
    </row>
    <row r="10" spans="1:16" x14ac:dyDescent="0.25">
      <c r="A10" s="158" t="s">
        <v>8</v>
      </c>
      <c r="B10" s="158"/>
      <c r="C10" s="158"/>
      <c r="D10" s="158"/>
      <c r="E10" s="158"/>
      <c r="F10" s="27"/>
      <c r="G10" s="13">
        <f>SUM(G5:G9)</f>
        <v>4459</v>
      </c>
      <c r="H10" s="13">
        <f t="shared" ref="H10:N10" si="2">SUM(H5:H9)</f>
        <v>4459</v>
      </c>
      <c r="I10" s="13">
        <f t="shared" si="2"/>
        <v>3717.45</v>
      </c>
      <c r="J10" s="13">
        <f t="shared" si="2"/>
        <v>4122.99</v>
      </c>
      <c r="K10" s="13">
        <f t="shared" si="2"/>
        <v>3717.45</v>
      </c>
      <c r="L10" s="13">
        <f t="shared" si="2"/>
        <v>4122.99</v>
      </c>
      <c r="M10" s="13">
        <f t="shared" si="2"/>
        <v>3717.45</v>
      </c>
      <c r="N10" s="13">
        <f t="shared" si="2"/>
        <v>3717.45</v>
      </c>
    </row>
    <row r="11" spans="1:16" x14ac:dyDescent="0.25">
      <c r="C11" s="28"/>
    </row>
    <row r="12" spans="1:16" ht="15" customHeight="1" x14ac:dyDescent="0.25">
      <c r="A12" s="148" t="s">
        <v>9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</row>
    <row r="13" spans="1:16" x14ac:dyDescent="0.25">
      <c r="A13" s="4" t="s">
        <v>10</v>
      </c>
      <c r="B13" s="189" t="s">
        <v>92</v>
      </c>
      <c r="C13" s="190"/>
      <c r="D13" s="190"/>
      <c r="E13" s="191"/>
      <c r="F13" s="4" t="s">
        <v>126</v>
      </c>
      <c r="G13" s="7" t="s">
        <v>3</v>
      </c>
      <c r="H13" s="7" t="s">
        <v>3</v>
      </c>
      <c r="I13" s="7" t="s">
        <v>3</v>
      </c>
      <c r="J13" s="7" t="s">
        <v>3</v>
      </c>
      <c r="K13" s="7" t="s">
        <v>3</v>
      </c>
      <c r="L13" s="7" t="s">
        <v>3</v>
      </c>
      <c r="M13" s="7" t="s">
        <v>3</v>
      </c>
      <c r="N13" s="7" t="s">
        <v>3</v>
      </c>
    </row>
    <row r="14" spans="1:16" ht="15" customHeight="1" x14ac:dyDescent="0.25">
      <c r="A14" s="79" t="s">
        <v>4</v>
      </c>
      <c r="B14" s="178" t="s">
        <v>11</v>
      </c>
      <c r="C14" s="179"/>
      <c r="D14" s="179"/>
      <c r="E14" s="180"/>
      <c r="F14" s="81">
        <f>1/12</f>
        <v>8.3333333333333329E-2</v>
      </c>
      <c r="G14" s="2">
        <f t="shared" ref="G14:N14" si="3">ROUND(($F$14*G10),2)</f>
        <v>371.58</v>
      </c>
      <c r="H14" s="2">
        <f t="shared" si="3"/>
        <v>371.58</v>
      </c>
      <c r="I14" s="2">
        <f t="shared" si="3"/>
        <v>309.79000000000002</v>
      </c>
      <c r="J14" s="2">
        <f t="shared" si="3"/>
        <v>343.58</v>
      </c>
      <c r="K14" s="2">
        <f t="shared" si="3"/>
        <v>309.79000000000002</v>
      </c>
      <c r="L14" s="2">
        <f t="shared" si="3"/>
        <v>343.58</v>
      </c>
      <c r="M14" s="2">
        <f t="shared" si="3"/>
        <v>309.79000000000002</v>
      </c>
      <c r="N14" s="2">
        <f t="shared" si="3"/>
        <v>309.79000000000002</v>
      </c>
    </row>
    <row r="15" spans="1:16" ht="15" customHeight="1" x14ac:dyDescent="0.25">
      <c r="A15" s="79" t="s">
        <v>6</v>
      </c>
      <c r="B15" s="178" t="s">
        <v>12</v>
      </c>
      <c r="C15" s="179"/>
      <c r="D15" s="179"/>
      <c r="E15" s="180"/>
      <c r="F15" s="81">
        <v>0.121</v>
      </c>
      <c r="G15" s="2">
        <f t="shared" ref="G15:N15" si="4">ROUND(($F$15*G10),2)</f>
        <v>539.54</v>
      </c>
      <c r="H15" s="2">
        <f t="shared" si="4"/>
        <v>539.54</v>
      </c>
      <c r="I15" s="2">
        <f t="shared" si="4"/>
        <v>449.81</v>
      </c>
      <c r="J15" s="2">
        <f t="shared" si="4"/>
        <v>498.88</v>
      </c>
      <c r="K15" s="2">
        <f t="shared" si="4"/>
        <v>449.81</v>
      </c>
      <c r="L15" s="2">
        <f t="shared" si="4"/>
        <v>498.88</v>
      </c>
      <c r="M15" s="2">
        <f t="shared" si="4"/>
        <v>449.81</v>
      </c>
      <c r="N15" s="2">
        <f t="shared" si="4"/>
        <v>449.81</v>
      </c>
    </row>
    <row r="16" spans="1:16" ht="15" customHeight="1" x14ac:dyDescent="0.25">
      <c r="A16" s="79"/>
      <c r="B16" s="195" t="s">
        <v>3</v>
      </c>
      <c r="C16" s="196"/>
      <c r="D16" s="196"/>
      <c r="E16" s="197"/>
      <c r="F16" s="29">
        <f t="shared" ref="F16:L16" si="5">SUM(F14:F15)</f>
        <v>0.20433333333333331</v>
      </c>
      <c r="G16" s="3">
        <f t="shared" si="5"/>
        <v>911.11999999999989</v>
      </c>
      <c r="H16" s="3">
        <f t="shared" si="5"/>
        <v>911.11999999999989</v>
      </c>
      <c r="I16" s="3">
        <f t="shared" si="5"/>
        <v>759.6</v>
      </c>
      <c r="J16" s="3">
        <f t="shared" si="5"/>
        <v>842.46</v>
      </c>
      <c r="K16" s="3">
        <f t="shared" si="5"/>
        <v>759.6</v>
      </c>
      <c r="L16" s="3">
        <f t="shared" si="5"/>
        <v>842.46</v>
      </c>
      <c r="M16" s="3">
        <f t="shared" ref="M16:N16" si="6">SUM(M14:M15)</f>
        <v>759.6</v>
      </c>
      <c r="N16" s="3">
        <f t="shared" si="6"/>
        <v>759.6</v>
      </c>
    </row>
    <row r="17" spans="1:14" ht="15" customHeight="1" x14ac:dyDescent="0.25">
      <c r="A17" s="79" t="s">
        <v>13</v>
      </c>
      <c r="B17" s="178" t="s">
        <v>14</v>
      </c>
      <c r="C17" s="179"/>
      <c r="D17" s="179"/>
      <c r="E17" s="180"/>
      <c r="F17" s="81">
        <f>F16*F29</f>
        <v>7.5194666666666674E-2</v>
      </c>
      <c r="G17" s="85">
        <f t="shared" ref="G17:N17" si="7">ROUND(($F$17*G10),2)</f>
        <v>335.29</v>
      </c>
      <c r="H17" s="85">
        <f t="shared" si="7"/>
        <v>335.29</v>
      </c>
      <c r="I17" s="85">
        <f t="shared" si="7"/>
        <v>279.52999999999997</v>
      </c>
      <c r="J17" s="85">
        <f t="shared" si="7"/>
        <v>310.02999999999997</v>
      </c>
      <c r="K17" s="85">
        <f t="shared" si="7"/>
        <v>279.52999999999997</v>
      </c>
      <c r="L17" s="85">
        <f t="shared" si="7"/>
        <v>310.02999999999997</v>
      </c>
      <c r="M17" s="85">
        <f t="shared" si="7"/>
        <v>279.52999999999997</v>
      </c>
      <c r="N17" s="85">
        <f t="shared" si="7"/>
        <v>279.52999999999997</v>
      </c>
    </row>
    <row r="18" spans="1:14" x14ac:dyDescent="0.25">
      <c r="A18" s="4"/>
      <c r="B18" s="189" t="s">
        <v>94</v>
      </c>
      <c r="C18" s="190"/>
      <c r="D18" s="190"/>
      <c r="E18" s="191"/>
      <c r="F18" s="11">
        <f>SUM(F16:F17)</f>
        <v>0.279528</v>
      </c>
      <c r="G18" s="9">
        <f t="shared" ref="G18:H18" si="8">SUM(G16:G17)</f>
        <v>1246.4099999999999</v>
      </c>
      <c r="H18" s="9">
        <f t="shared" si="8"/>
        <v>1246.4099999999999</v>
      </c>
      <c r="I18" s="9">
        <f>SUM(I16:I17)</f>
        <v>1039.1300000000001</v>
      </c>
      <c r="J18" s="9">
        <f t="shared" ref="J18:L18" si="9">SUM(J16:J17)</f>
        <v>1152.49</v>
      </c>
      <c r="K18" s="9">
        <f t="shared" si="9"/>
        <v>1039.1300000000001</v>
      </c>
      <c r="L18" s="9">
        <f t="shared" si="9"/>
        <v>1152.49</v>
      </c>
      <c r="M18" s="9">
        <f t="shared" ref="M18:N18" si="10">SUM(M16:M17)</f>
        <v>1039.1300000000001</v>
      </c>
      <c r="N18" s="9">
        <f t="shared" si="10"/>
        <v>1039.1300000000001</v>
      </c>
    </row>
    <row r="19" spans="1:14" x14ac:dyDescent="0.25">
      <c r="A19" s="86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</row>
    <row r="20" spans="1:14" x14ac:dyDescent="0.25">
      <c r="A20" s="4" t="s">
        <v>15</v>
      </c>
      <c r="B20" s="189" t="s">
        <v>93</v>
      </c>
      <c r="C20" s="190"/>
      <c r="D20" s="190"/>
      <c r="E20" s="191"/>
      <c r="F20" s="4" t="s">
        <v>126</v>
      </c>
      <c r="G20" s="7" t="s">
        <v>3</v>
      </c>
      <c r="H20" s="7" t="s">
        <v>3</v>
      </c>
      <c r="I20" s="7" t="s">
        <v>3</v>
      </c>
      <c r="J20" s="7" t="s">
        <v>3</v>
      </c>
      <c r="K20" s="7" t="s">
        <v>3</v>
      </c>
      <c r="L20" s="7" t="s">
        <v>3</v>
      </c>
      <c r="M20" s="7" t="s">
        <v>3</v>
      </c>
      <c r="N20" s="7" t="s">
        <v>3</v>
      </c>
    </row>
    <row r="21" spans="1:14" s="87" customFormat="1" x14ac:dyDescent="0.25">
      <c r="A21" s="79" t="s">
        <v>4</v>
      </c>
      <c r="B21" s="178" t="s">
        <v>16</v>
      </c>
      <c r="C21" s="179"/>
      <c r="D21" s="179"/>
      <c r="E21" s="180"/>
      <c r="F21" s="81">
        <v>0.2</v>
      </c>
      <c r="G21" s="2">
        <f t="shared" ref="G21:N21" si="11">ROUND(($F$21*G10),2)</f>
        <v>891.8</v>
      </c>
      <c r="H21" s="2">
        <f t="shared" si="11"/>
        <v>891.8</v>
      </c>
      <c r="I21" s="2">
        <f t="shared" si="11"/>
        <v>743.49</v>
      </c>
      <c r="J21" s="2">
        <f t="shared" si="11"/>
        <v>824.6</v>
      </c>
      <c r="K21" s="2">
        <f t="shared" si="11"/>
        <v>743.49</v>
      </c>
      <c r="L21" s="2">
        <f t="shared" si="11"/>
        <v>824.6</v>
      </c>
      <c r="M21" s="2">
        <f t="shared" si="11"/>
        <v>743.49</v>
      </c>
      <c r="N21" s="2">
        <f t="shared" si="11"/>
        <v>743.49</v>
      </c>
    </row>
    <row r="22" spans="1:14" s="87" customFormat="1" x14ac:dyDescent="0.25">
      <c r="A22" s="79" t="s">
        <v>6</v>
      </c>
      <c r="B22" s="178" t="s">
        <v>17</v>
      </c>
      <c r="C22" s="179"/>
      <c r="D22" s="179"/>
      <c r="E22" s="180"/>
      <c r="F22" s="81">
        <v>2.5000000000000001E-2</v>
      </c>
      <c r="G22" s="2">
        <f t="shared" ref="G22:N22" si="12">ROUND(($F$22*G10),2)</f>
        <v>111.48</v>
      </c>
      <c r="H22" s="2">
        <f t="shared" si="12"/>
        <v>111.48</v>
      </c>
      <c r="I22" s="2">
        <f t="shared" si="12"/>
        <v>92.94</v>
      </c>
      <c r="J22" s="2">
        <f t="shared" si="12"/>
        <v>103.07</v>
      </c>
      <c r="K22" s="2">
        <f t="shared" si="12"/>
        <v>92.94</v>
      </c>
      <c r="L22" s="2">
        <f t="shared" si="12"/>
        <v>103.07</v>
      </c>
      <c r="M22" s="2">
        <f t="shared" si="12"/>
        <v>92.94</v>
      </c>
      <c r="N22" s="2">
        <f t="shared" si="12"/>
        <v>92.94</v>
      </c>
    </row>
    <row r="23" spans="1:14" s="87" customFormat="1" x14ac:dyDescent="0.25">
      <c r="A23" s="88" t="s">
        <v>18</v>
      </c>
      <c r="B23" s="186" t="s">
        <v>19</v>
      </c>
      <c r="C23" s="187"/>
      <c r="D23" s="187"/>
      <c r="E23" s="188"/>
      <c r="F23" s="89">
        <v>0.03</v>
      </c>
      <c r="G23" s="2">
        <f t="shared" ref="G23:N23" si="13">ROUND(($F$23*G10),2)</f>
        <v>133.77000000000001</v>
      </c>
      <c r="H23" s="2">
        <f t="shared" si="13"/>
        <v>133.77000000000001</v>
      </c>
      <c r="I23" s="2">
        <f t="shared" si="13"/>
        <v>111.52</v>
      </c>
      <c r="J23" s="2">
        <f t="shared" si="13"/>
        <v>123.69</v>
      </c>
      <c r="K23" s="2">
        <f t="shared" si="13"/>
        <v>111.52</v>
      </c>
      <c r="L23" s="2">
        <f t="shared" si="13"/>
        <v>123.69</v>
      </c>
      <c r="M23" s="2">
        <f t="shared" si="13"/>
        <v>111.52</v>
      </c>
      <c r="N23" s="2">
        <f t="shared" si="13"/>
        <v>111.52</v>
      </c>
    </row>
    <row r="24" spans="1:14" s="87" customFormat="1" x14ac:dyDescent="0.25">
      <c r="A24" s="79" t="s">
        <v>13</v>
      </c>
      <c r="B24" s="178" t="s">
        <v>20</v>
      </c>
      <c r="C24" s="179"/>
      <c r="D24" s="179"/>
      <c r="E24" s="180"/>
      <c r="F24" s="81">
        <v>1.4999999999999999E-2</v>
      </c>
      <c r="G24" s="2">
        <f t="shared" ref="G24:N24" si="14">ROUND(($F$24*G10),2)</f>
        <v>66.89</v>
      </c>
      <c r="H24" s="2">
        <f t="shared" si="14"/>
        <v>66.89</v>
      </c>
      <c r="I24" s="2">
        <f t="shared" si="14"/>
        <v>55.76</v>
      </c>
      <c r="J24" s="2">
        <f t="shared" si="14"/>
        <v>61.84</v>
      </c>
      <c r="K24" s="2">
        <f t="shared" si="14"/>
        <v>55.76</v>
      </c>
      <c r="L24" s="2">
        <f t="shared" si="14"/>
        <v>61.84</v>
      </c>
      <c r="M24" s="2">
        <f t="shared" si="14"/>
        <v>55.76</v>
      </c>
      <c r="N24" s="2">
        <f t="shared" si="14"/>
        <v>55.76</v>
      </c>
    </row>
    <row r="25" spans="1:14" x14ac:dyDescent="0.25">
      <c r="A25" s="79" t="s">
        <v>21</v>
      </c>
      <c r="B25" s="178" t="s">
        <v>22</v>
      </c>
      <c r="C25" s="179"/>
      <c r="D25" s="179"/>
      <c r="E25" s="180"/>
      <c r="F25" s="81">
        <v>0.01</v>
      </c>
      <c r="G25" s="2">
        <f t="shared" ref="G25:N25" si="15">ROUND(($F$25*G10),2)</f>
        <v>44.59</v>
      </c>
      <c r="H25" s="2">
        <f t="shared" si="15"/>
        <v>44.59</v>
      </c>
      <c r="I25" s="2">
        <f t="shared" si="15"/>
        <v>37.17</v>
      </c>
      <c r="J25" s="2">
        <f t="shared" si="15"/>
        <v>41.23</v>
      </c>
      <c r="K25" s="2">
        <f t="shared" si="15"/>
        <v>37.17</v>
      </c>
      <c r="L25" s="2">
        <f t="shared" si="15"/>
        <v>41.23</v>
      </c>
      <c r="M25" s="2">
        <f t="shared" si="15"/>
        <v>37.17</v>
      </c>
      <c r="N25" s="2">
        <f t="shared" si="15"/>
        <v>37.17</v>
      </c>
    </row>
    <row r="26" spans="1:14" x14ac:dyDescent="0.25">
      <c r="A26" s="79" t="s">
        <v>23</v>
      </c>
      <c r="B26" s="178" t="s">
        <v>24</v>
      </c>
      <c r="C26" s="179"/>
      <c r="D26" s="179"/>
      <c r="E26" s="180"/>
      <c r="F26" s="81">
        <v>6.0000000000000001E-3</v>
      </c>
      <c r="G26" s="2">
        <f t="shared" ref="G26:N26" si="16">ROUND(($F$26*G10),2)</f>
        <v>26.75</v>
      </c>
      <c r="H26" s="2">
        <f t="shared" si="16"/>
        <v>26.75</v>
      </c>
      <c r="I26" s="2">
        <f t="shared" si="16"/>
        <v>22.3</v>
      </c>
      <c r="J26" s="2">
        <f t="shared" si="16"/>
        <v>24.74</v>
      </c>
      <c r="K26" s="2">
        <f t="shared" si="16"/>
        <v>22.3</v>
      </c>
      <c r="L26" s="2">
        <f t="shared" si="16"/>
        <v>24.74</v>
      </c>
      <c r="M26" s="2">
        <f t="shared" si="16"/>
        <v>22.3</v>
      </c>
      <c r="N26" s="2">
        <f t="shared" si="16"/>
        <v>22.3</v>
      </c>
    </row>
    <row r="27" spans="1:14" x14ac:dyDescent="0.25">
      <c r="A27" s="79" t="s">
        <v>25</v>
      </c>
      <c r="B27" s="178" t="s">
        <v>26</v>
      </c>
      <c r="C27" s="179"/>
      <c r="D27" s="179"/>
      <c r="E27" s="180"/>
      <c r="F27" s="81">
        <v>2E-3</v>
      </c>
      <c r="G27" s="2">
        <f t="shared" ref="G27:N27" si="17">ROUND(($F$27*G10),2)</f>
        <v>8.92</v>
      </c>
      <c r="H27" s="2">
        <f t="shared" si="17"/>
        <v>8.92</v>
      </c>
      <c r="I27" s="2">
        <f t="shared" si="17"/>
        <v>7.43</v>
      </c>
      <c r="J27" s="2">
        <f t="shared" si="17"/>
        <v>8.25</v>
      </c>
      <c r="K27" s="2">
        <f t="shared" si="17"/>
        <v>7.43</v>
      </c>
      <c r="L27" s="2">
        <f t="shared" si="17"/>
        <v>8.25</v>
      </c>
      <c r="M27" s="2">
        <f t="shared" si="17"/>
        <v>7.43</v>
      </c>
      <c r="N27" s="2">
        <f t="shared" si="17"/>
        <v>7.43</v>
      </c>
    </row>
    <row r="28" spans="1:14" x14ac:dyDescent="0.25">
      <c r="A28" s="90" t="s">
        <v>27</v>
      </c>
      <c r="B28" s="183" t="s">
        <v>28</v>
      </c>
      <c r="C28" s="184"/>
      <c r="D28" s="184"/>
      <c r="E28" s="185"/>
      <c r="F28" s="91">
        <v>0.08</v>
      </c>
      <c r="G28" s="16">
        <f t="shared" ref="G28:N28" si="18">ROUND(($F$28*G10),2)</f>
        <v>356.72</v>
      </c>
      <c r="H28" s="16">
        <f t="shared" si="18"/>
        <v>356.72</v>
      </c>
      <c r="I28" s="16">
        <f t="shared" si="18"/>
        <v>297.39999999999998</v>
      </c>
      <c r="J28" s="16">
        <f t="shared" si="18"/>
        <v>329.84</v>
      </c>
      <c r="K28" s="16">
        <f t="shared" si="18"/>
        <v>297.39999999999998</v>
      </c>
      <c r="L28" s="16">
        <f t="shared" si="18"/>
        <v>329.84</v>
      </c>
      <c r="M28" s="16">
        <f t="shared" si="18"/>
        <v>297.39999999999998</v>
      </c>
      <c r="N28" s="16">
        <f t="shared" si="18"/>
        <v>297.39999999999998</v>
      </c>
    </row>
    <row r="29" spans="1:14" x14ac:dyDescent="0.25">
      <c r="A29" s="92"/>
      <c r="B29" s="194" t="s">
        <v>95</v>
      </c>
      <c r="C29" s="194"/>
      <c r="D29" s="194"/>
      <c r="E29" s="194"/>
      <c r="F29" s="11">
        <f>SUM(F21:F28)</f>
        <v>0.36800000000000005</v>
      </c>
      <c r="G29" s="9">
        <f t="shared" ref="G29:N29" si="19">SUM(G21:G28)</f>
        <v>1640.92</v>
      </c>
      <c r="H29" s="9">
        <f t="shared" si="19"/>
        <v>1640.92</v>
      </c>
      <c r="I29" s="9">
        <f t="shared" si="19"/>
        <v>1368.0100000000002</v>
      </c>
      <c r="J29" s="9">
        <f t="shared" si="19"/>
        <v>1517.26</v>
      </c>
      <c r="K29" s="9">
        <f t="shared" si="19"/>
        <v>1368.0100000000002</v>
      </c>
      <c r="L29" s="9">
        <f t="shared" si="19"/>
        <v>1517.26</v>
      </c>
      <c r="M29" s="9">
        <f t="shared" si="19"/>
        <v>1368.0100000000002</v>
      </c>
      <c r="N29" s="9">
        <f t="shared" si="19"/>
        <v>1368.0100000000002</v>
      </c>
    </row>
    <row r="30" spans="1:14" x14ac:dyDescent="0.25">
      <c r="B30" s="24"/>
      <c r="C30" s="78"/>
      <c r="F30" s="82"/>
      <c r="G30" s="82"/>
      <c r="H30" s="82"/>
      <c r="I30" s="82"/>
      <c r="J30" s="82"/>
      <c r="K30" s="82"/>
      <c r="L30" s="82"/>
      <c r="M30" s="82"/>
      <c r="N30" s="82"/>
    </row>
    <row r="31" spans="1:14" ht="15.75" customHeight="1" x14ac:dyDescent="0.25">
      <c r="A31" s="4" t="s">
        <v>29</v>
      </c>
      <c r="B31" s="8" t="s">
        <v>30</v>
      </c>
      <c r="C31" s="10" t="s">
        <v>686</v>
      </c>
      <c r="D31" s="4" t="s">
        <v>31</v>
      </c>
      <c r="E31" s="4" t="s">
        <v>2</v>
      </c>
      <c r="F31" s="11" t="s">
        <v>32</v>
      </c>
      <c r="G31" s="7" t="s">
        <v>3</v>
      </c>
      <c r="H31" s="7" t="s">
        <v>3</v>
      </c>
      <c r="I31" s="7" t="s">
        <v>3</v>
      </c>
      <c r="J31" s="7" t="s">
        <v>3</v>
      </c>
      <c r="K31" s="7" t="s">
        <v>3</v>
      </c>
      <c r="L31" s="7" t="s">
        <v>3</v>
      </c>
      <c r="M31" s="7" t="s">
        <v>3</v>
      </c>
      <c r="N31" s="7" t="s">
        <v>3</v>
      </c>
    </row>
    <row r="32" spans="1:14" x14ac:dyDescent="0.25">
      <c r="A32" s="93" t="s">
        <v>4</v>
      </c>
      <c r="B32" s="94" t="s">
        <v>129</v>
      </c>
      <c r="C32" s="30">
        <v>0.06</v>
      </c>
      <c r="D32" s="93">
        <v>21</v>
      </c>
      <c r="E32" s="93">
        <v>2</v>
      </c>
      <c r="F32" s="95">
        <v>5.5</v>
      </c>
      <c r="G32" s="96"/>
      <c r="H32" s="96">
        <f>IF(($F$32*$D$32*$E$32)-$C$32*H5&lt;0,0,($F$32*$D$32*$E$32)-$C$32*H5)</f>
        <v>25.200000000000017</v>
      </c>
      <c r="I32" s="96"/>
      <c r="J32" s="96"/>
      <c r="K32" s="96"/>
      <c r="L32" s="96"/>
      <c r="M32" s="96">
        <f>IF(($F$32*$D$32*$E$32)-$C$32*M5&lt;0,0,($F$32*$D$32*$E$32)-$C$32*M5)</f>
        <v>59.425200000000018</v>
      </c>
      <c r="N32" s="96"/>
    </row>
    <row r="33" spans="1:26" x14ac:dyDescent="0.25">
      <c r="A33" s="93" t="s">
        <v>6</v>
      </c>
      <c r="B33" s="94" t="s">
        <v>130</v>
      </c>
      <c r="C33" s="30">
        <v>0.06</v>
      </c>
      <c r="D33" s="93">
        <v>15</v>
      </c>
      <c r="E33" s="93">
        <v>2</v>
      </c>
      <c r="F33" s="95">
        <v>5.5</v>
      </c>
      <c r="G33" s="96">
        <f>IF(($F$33*$D$33*$E$33)-$C$33*G5&lt;0,0,($F$33*$D$33*$E$33)-$C$33*G5)</f>
        <v>0</v>
      </c>
      <c r="H33" s="96"/>
      <c r="I33" s="96">
        <f t="shared" ref="I33:N33" si="20">IF(($F$33*$D$33*$E$33)-$C$33*I5&lt;0,0,($F$33*$D$33*$E$33)-$C$33*I5)</f>
        <v>0</v>
      </c>
      <c r="J33" s="96">
        <f t="shared" si="20"/>
        <v>0</v>
      </c>
      <c r="K33" s="96">
        <f t="shared" si="20"/>
        <v>0</v>
      </c>
      <c r="L33" s="96">
        <f t="shared" si="20"/>
        <v>0</v>
      </c>
      <c r="M33" s="96"/>
      <c r="N33" s="96">
        <f t="shared" si="20"/>
        <v>0</v>
      </c>
    </row>
    <row r="34" spans="1:26" x14ac:dyDescent="0.25">
      <c r="A34" s="79" t="s">
        <v>18</v>
      </c>
      <c r="B34" s="97" t="s">
        <v>131</v>
      </c>
      <c r="C34" s="98"/>
      <c r="D34" s="93">
        <v>21</v>
      </c>
      <c r="E34" s="93">
        <v>1</v>
      </c>
      <c r="F34" s="99">
        <v>49.63</v>
      </c>
      <c r="G34" s="99"/>
      <c r="H34" s="99">
        <f>F34*D34</f>
        <v>1042.23</v>
      </c>
      <c r="I34" s="99"/>
      <c r="J34" s="99"/>
      <c r="K34" s="99"/>
      <c r="L34" s="99"/>
      <c r="M34" s="99">
        <f>F34*D34</f>
        <v>1042.23</v>
      </c>
      <c r="N34" s="99"/>
    </row>
    <row r="35" spans="1:26" x14ac:dyDescent="0.25">
      <c r="A35" s="79" t="s">
        <v>13</v>
      </c>
      <c r="B35" s="97" t="s">
        <v>132</v>
      </c>
      <c r="C35" s="98"/>
      <c r="D35" s="93">
        <v>15</v>
      </c>
      <c r="E35" s="93">
        <v>1</v>
      </c>
      <c r="F35" s="99">
        <v>49.63</v>
      </c>
      <c r="G35" s="99">
        <f>$F$35*$D$35</f>
        <v>744.45</v>
      </c>
      <c r="H35" s="99"/>
      <c r="I35" s="99">
        <f t="shared" ref="I35:N35" si="21">$F$35*$D$35</f>
        <v>744.45</v>
      </c>
      <c r="J35" s="99">
        <f t="shared" si="21"/>
        <v>744.45</v>
      </c>
      <c r="K35" s="99">
        <f t="shared" si="21"/>
        <v>744.45</v>
      </c>
      <c r="L35" s="99">
        <f t="shared" si="21"/>
        <v>744.45</v>
      </c>
      <c r="M35" s="99"/>
      <c r="N35" s="99">
        <f t="shared" si="21"/>
        <v>744.45</v>
      </c>
    </row>
    <row r="36" spans="1:26" x14ac:dyDescent="0.25">
      <c r="A36" s="79" t="s">
        <v>21</v>
      </c>
      <c r="B36" s="97" t="s">
        <v>673</v>
      </c>
      <c r="C36" s="98"/>
      <c r="D36" s="93"/>
      <c r="E36" s="93">
        <v>1</v>
      </c>
      <c r="F36" s="99">
        <v>19.899999999999999</v>
      </c>
      <c r="G36" s="99">
        <f>$F$36</f>
        <v>19.899999999999999</v>
      </c>
      <c r="H36" s="99">
        <f t="shared" ref="H36:N36" si="22">$F$36</f>
        <v>19.899999999999999</v>
      </c>
      <c r="I36" s="99">
        <f t="shared" si="22"/>
        <v>19.899999999999999</v>
      </c>
      <c r="J36" s="99">
        <f t="shared" si="22"/>
        <v>19.899999999999999</v>
      </c>
      <c r="K36" s="99">
        <f t="shared" si="22"/>
        <v>19.899999999999999</v>
      </c>
      <c r="L36" s="99">
        <f t="shared" si="22"/>
        <v>19.899999999999999</v>
      </c>
      <c r="M36" s="99">
        <f t="shared" si="22"/>
        <v>19.899999999999999</v>
      </c>
      <c r="N36" s="99">
        <f t="shared" si="22"/>
        <v>19.899999999999999</v>
      </c>
    </row>
    <row r="37" spans="1:26" x14ac:dyDescent="0.25">
      <c r="A37" s="79" t="s">
        <v>23</v>
      </c>
      <c r="B37" s="100" t="s">
        <v>88</v>
      </c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</row>
    <row r="38" spans="1:26" x14ac:dyDescent="0.25">
      <c r="A38" s="92"/>
      <c r="B38" s="189" t="s">
        <v>96</v>
      </c>
      <c r="C38" s="190"/>
      <c r="D38" s="190"/>
      <c r="E38" s="190"/>
      <c r="F38" s="191"/>
      <c r="G38" s="7">
        <f t="shared" ref="G38:N38" si="23">SUM(G32:G37)</f>
        <v>764.35</v>
      </c>
      <c r="H38" s="7">
        <f t="shared" si="23"/>
        <v>1087.3300000000002</v>
      </c>
      <c r="I38" s="7">
        <f t="shared" si="23"/>
        <v>764.35</v>
      </c>
      <c r="J38" s="7">
        <f t="shared" si="23"/>
        <v>764.35</v>
      </c>
      <c r="K38" s="7">
        <f t="shared" si="23"/>
        <v>764.35</v>
      </c>
      <c r="L38" s="7">
        <f t="shared" si="23"/>
        <v>764.35</v>
      </c>
      <c r="M38" s="7">
        <f t="shared" si="23"/>
        <v>1121.5552000000002</v>
      </c>
      <c r="N38" s="7">
        <f t="shared" si="23"/>
        <v>764.35</v>
      </c>
    </row>
    <row r="39" spans="1:26" x14ac:dyDescent="0.25">
      <c r="A39" s="158" t="s">
        <v>33</v>
      </c>
      <c r="B39" s="158"/>
      <c r="C39" s="158"/>
      <c r="D39" s="158"/>
      <c r="E39" s="158"/>
      <c r="F39" s="158"/>
      <c r="G39" s="13">
        <f t="shared" ref="G39:N39" si="24">G18+G29+G38</f>
        <v>3651.68</v>
      </c>
      <c r="H39" s="13">
        <f t="shared" si="24"/>
        <v>3974.66</v>
      </c>
      <c r="I39" s="13">
        <f t="shared" si="24"/>
        <v>3171.4900000000002</v>
      </c>
      <c r="J39" s="13">
        <f t="shared" si="24"/>
        <v>3434.1</v>
      </c>
      <c r="K39" s="13">
        <f t="shared" si="24"/>
        <v>3171.4900000000002</v>
      </c>
      <c r="L39" s="13">
        <f t="shared" si="24"/>
        <v>3434.1</v>
      </c>
      <c r="M39" s="13">
        <f t="shared" si="24"/>
        <v>3528.6952000000006</v>
      </c>
      <c r="N39" s="13">
        <f t="shared" si="24"/>
        <v>3171.4900000000002</v>
      </c>
    </row>
    <row r="40" spans="1:26" x14ac:dyDescent="0.25">
      <c r="A40" s="86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</row>
    <row r="41" spans="1:26" ht="15" customHeight="1" x14ac:dyDescent="0.25">
      <c r="A41" s="148" t="s">
        <v>34</v>
      </c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</row>
    <row r="42" spans="1:26" ht="15.75" customHeight="1" x14ac:dyDescent="0.25">
      <c r="A42" s="15">
        <v>3</v>
      </c>
      <c r="B42" s="175" t="s">
        <v>35</v>
      </c>
      <c r="C42" s="176"/>
      <c r="D42" s="176"/>
      <c r="E42" s="177"/>
      <c r="F42" s="15" t="s">
        <v>126</v>
      </c>
      <c r="G42" s="14" t="s">
        <v>36</v>
      </c>
      <c r="H42" s="14" t="s">
        <v>36</v>
      </c>
      <c r="I42" s="14" t="s">
        <v>36</v>
      </c>
      <c r="J42" s="14" t="s">
        <v>36</v>
      </c>
      <c r="K42" s="14" t="s">
        <v>36</v>
      </c>
      <c r="L42" s="14" t="s">
        <v>36</v>
      </c>
      <c r="M42" s="14" t="s">
        <v>36</v>
      </c>
      <c r="N42" s="14" t="s">
        <v>36</v>
      </c>
    </row>
    <row r="43" spans="1:26" ht="16.5" customHeight="1" x14ac:dyDescent="0.25">
      <c r="A43" s="79" t="s">
        <v>4</v>
      </c>
      <c r="B43" s="149" t="s">
        <v>37</v>
      </c>
      <c r="C43" s="150"/>
      <c r="D43" s="150"/>
      <c r="E43" s="151"/>
      <c r="F43" s="89">
        <f>(1/12)*0.055</f>
        <v>4.5833333333333334E-3</v>
      </c>
      <c r="G43" s="99">
        <f t="shared" ref="G43" si="25">(G10*$F$43)</f>
        <v>20.437083333333334</v>
      </c>
      <c r="H43" s="99">
        <f t="shared" ref="H43:N43" si="26">(H10*$F$43)</f>
        <v>20.437083333333334</v>
      </c>
      <c r="I43" s="99">
        <f t="shared" si="26"/>
        <v>17.0383125</v>
      </c>
      <c r="J43" s="99">
        <f t="shared" si="26"/>
        <v>18.8970375</v>
      </c>
      <c r="K43" s="99">
        <f t="shared" si="26"/>
        <v>17.0383125</v>
      </c>
      <c r="L43" s="99">
        <f t="shared" si="26"/>
        <v>18.8970375</v>
      </c>
      <c r="M43" s="99">
        <f t="shared" si="26"/>
        <v>17.0383125</v>
      </c>
      <c r="N43" s="99">
        <f t="shared" si="26"/>
        <v>17.0383125</v>
      </c>
    </row>
    <row r="44" spans="1:26" ht="16.5" customHeight="1" x14ac:dyDescent="0.25">
      <c r="A44" s="79" t="s">
        <v>6</v>
      </c>
      <c r="B44" s="149" t="s">
        <v>38</v>
      </c>
      <c r="C44" s="150"/>
      <c r="D44" s="150"/>
      <c r="E44" s="151"/>
      <c r="F44" s="89">
        <f>ROUND((F43*F28),4)</f>
        <v>4.0000000000000002E-4</v>
      </c>
      <c r="G44" s="99">
        <f t="shared" ref="G44" si="27">(G10*$F$44)</f>
        <v>1.7836000000000001</v>
      </c>
      <c r="H44" s="99">
        <f t="shared" ref="H44:N44" si="28">(H10*$F$44)</f>
        <v>1.7836000000000001</v>
      </c>
      <c r="I44" s="99">
        <f t="shared" si="28"/>
        <v>1.48698</v>
      </c>
      <c r="J44" s="99">
        <f t="shared" si="28"/>
        <v>1.6491959999999999</v>
      </c>
      <c r="K44" s="99">
        <f t="shared" si="28"/>
        <v>1.48698</v>
      </c>
      <c r="L44" s="99">
        <f t="shared" si="28"/>
        <v>1.6491959999999999</v>
      </c>
      <c r="M44" s="99">
        <f t="shared" si="28"/>
        <v>1.48698</v>
      </c>
      <c r="N44" s="99">
        <f t="shared" si="28"/>
        <v>1.48698</v>
      </c>
    </row>
    <row r="45" spans="1:26" ht="16.5" customHeight="1" x14ac:dyDescent="0.25">
      <c r="A45" s="79" t="s">
        <v>18</v>
      </c>
      <c r="B45" s="149" t="s">
        <v>39</v>
      </c>
      <c r="C45" s="150"/>
      <c r="D45" s="150"/>
      <c r="E45" s="151"/>
      <c r="F45" s="89">
        <f>4%</f>
        <v>0.04</v>
      </c>
      <c r="G45" s="99">
        <f t="shared" ref="G45" si="29">(G10*$F$45)</f>
        <v>178.36</v>
      </c>
      <c r="H45" s="99">
        <f t="shared" ref="H45:N45" si="30">(H10*$F$45)</f>
        <v>178.36</v>
      </c>
      <c r="I45" s="99">
        <f t="shared" si="30"/>
        <v>148.69800000000001</v>
      </c>
      <c r="J45" s="99">
        <f t="shared" si="30"/>
        <v>164.9196</v>
      </c>
      <c r="K45" s="99">
        <f t="shared" si="30"/>
        <v>148.69800000000001</v>
      </c>
      <c r="L45" s="99">
        <f t="shared" si="30"/>
        <v>164.9196</v>
      </c>
      <c r="M45" s="99">
        <f t="shared" si="30"/>
        <v>148.69800000000001</v>
      </c>
      <c r="N45" s="99">
        <f t="shared" si="30"/>
        <v>148.69800000000001</v>
      </c>
    </row>
    <row r="46" spans="1:26" ht="16.5" customHeight="1" x14ac:dyDescent="0.25">
      <c r="A46" s="79" t="s">
        <v>13</v>
      </c>
      <c r="B46" s="149" t="s">
        <v>40</v>
      </c>
      <c r="C46" s="150"/>
      <c r="D46" s="150"/>
      <c r="E46" s="151"/>
      <c r="F46" s="89">
        <v>1.9400000000000001E-2</v>
      </c>
      <c r="G46" s="99">
        <f t="shared" ref="G46" si="31">G10*$F$46</f>
        <v>86.504599999999996</v>
      </c>
      <c r="H46" s="99">
        <f t="shared" ref="H46:N46" si="32">H10*$F$46</f>
        <v>86.504599999999996</v>
      </c>
      <c r="I46" s="99">
        <f t="shared" si="32"/>
        <v>72.118529999999993</v>
      </c>
      <c r="J46" s="99">
        <f t="shared" si="32"/>
        <v>79.986006000000003</v>
      </c>
      <c r="K46" s="99">
        <f t="shared" si="32"/>
        <v>72.118529999999993</v>
      </c>
      <c r="L46" s="99">
        <f t="shared" si="32"/>
        <v>79.986006000000003</v>
      </c>
      <c r="M46" s="99">
        <f t="shared" si="32"/>
        <v>72.118529999999993</v>
      </c>
      <c r="N46" s="99">
        <f t="shared" si="32"/>
        <v>72.118529999999993</v>
      </c>
    </row>
    <row r="47" spans="1:26" ht="16.5" customHeight="1" x14ac:dyDescent="0.25">
      <c r="A47" s="79" t="s">
        <v>21</v>
      </c>
      <c r="B47" s="149" t="s">
        <v>41</v>
      </c>
      <c r="C47" s="150"/>
      <c r="D47" s="150"/>
      <c r="E47" s="151"/>
      <c r="F47" s="89">
        <f>ROUND((F46*F29),4)</f>
        <v>7.1000000000000004E-3</v>
      </c>
      <c r="G47" s="99">
        <f t="shared" ref="G47" si="33">G10*$F$47</f>
        <v>31.658900000000003</v>
      </c>
      <c r="H47" s="99">
        <f t="shared" ref="H47:N47" si="34">H10*$F$47</f>
        <v>31.658900000000003</v>
      </c>
      <c r="I47" s="99">
        <f t="shared" si="34"/>
        <v>26.393895000000001</v>
      </c>
      <c r="J47" s="99">
        <f t="shared" si="34"/>
        <v>29.273229000000001</v>
      </c>
      <c r="K47" s="99">
        <f t="shared" si="34"/>
        <v>26.393895000000001</v>
      </c>
      <c r="L47" s="99">
        <f t="shared" si="34"/>
        <v>29.273229000000001</v>
      </c>
      <c r="M47" s="99">
        <f t="shared" si="34"/>
        <v>26.393895000000001</v>
      </c>
      <c r="N47" s="99">
        <f t="shared" si="34"/>
        <v>26.393895000000001</v>
      </c>
    </row>
    <row r="48" spans="1:26" ht="16.5" customHeight="1" x14ac:dyDescent="0.25">
      <c r="A48" s="79" t="s">
        <v>23</v>
      </c>
      <c r="B48" s="149" t="s">
        <v>42</v>
      </c>
      <c r="C48" s="150"/>
      <c r="D48" s="150"/>
      <c r="E48" s="151"/>
      <c r="F48" s="89">
        <v>0</v>
      </c>
      <c r="G48" s="89"/>
      <c r="H48" s="89"/>
      <c r="I48" s="89"/>
      <c r="J48" s="89"/>
      <c r="K48" s="89"/>
      <c r="L48" s="89"/>
      <c r="M48" s="89"/>
      <c r="N48" s="89"/>
      <c r="P48"/>
      <c r="Q48"/>
      <c r="R48"/>
      <c r="S48"/>
      <c r="T48"/>
      <c r="U48"/>
      <c r="V48"/>
      <c r="W48"/>
      <c r="X48"/>
      <c r="Y48"/>
      <c r="Z48"/>
    </row>
    <row r="49" spans="1:28" s="82" customFormat="1" ht="16.5" customHeight="1" x14ac:dyDescent="0.25">
      <c r="A49" s="158" t="s">
        <v>43</v>
      </c>
      <c r="B49" s="158"/>
      <c r="C49" s="158"/>
      <c r="D49" s="158"/>
      <c r="E49" s="158"/>
      <c r="F49" s="36">
        <f t="shared" ref="F49:L49" si="35">SUM(F43:F48)</f>
        <v>7.1483333333333329E-2</v>
      </c>
      <c r="G49" s="13">
        <f t="shared" si="35"/>
        <v>318.74418333333335</v>
      </c>
      <c r="H49" s="13">
        <f t="shared" si="35"/>
        <v>318.74418333333335</v>
      </c>
      <c r="I49" s="13">
        <f t="shared" si="35"/>
        <v>265.73571750000002</v>
      </c>
      <c r="J49" s="13">
        <f t="shared" si="35"/>
        <v>294.72506850000002</v>
      </c>
      <c r="K49" s="13">
        <f t="shared" si="35"/>
        <v>265.73571750000002</v>
      </c>
      <c r="L49" s="13">
        <f t="shared" si="35"/>
        <v>294.72506850000002</v>
      </c>
      <c r="M49" s="13">
        <f t="shared" ref="M49:N49" si="36">SUM(M43:M48)</f>
        <v>265.73571750000002</v>
      </c>
      <c r="N49" s="13">
        <f t="shared" si="36"/>
        <v>265.73571750000002</v>
      </c>
      <c r="P49"/>
      <c r="Q49"/>
      <c r="R49"/>
      <c r="S49"/>
      <c r="T49"/>
      <c r="U49"/>
      <c r="V49"/>
      <c r="W49"/>
      <c r="X49"/>
      <c r="Y49"/>
      <c r="Z49"/>
      <c r="AA49" s="78"/>
      <c r="AB49" s="78"/>
    </row>
    <row r="50" spans="1:28" ht="31.5" customHeight="1" x14ac:dyDescent="0.25">
      <c r="A50" s="193" t="s">
        <v>44</v>
      </c>
      <c r="B50" s="193"/>
      <c r="C50" s="193"/>
      <c r="D50" s="193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P50"/>
      <c r="Q50"/>
      <c r="R50"/>
      <c r="S50"/>
      <c r="T50"/>
      <c r="U50"/>
      <c r="V50"/>
      <c r="W50"/>
      <c r="X50"/>
      <c r="Y50"/>
      <c r="Z50"/>
    </row>
    <row r="51" spans="1:28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P51"/>
      <c r="Q51"/>
      <c r="R51"/>
      <c r="S51"/>
      <c r="T51"/>
      <c r="U51"/>
      <c r="V51"/>
      <c r="W51"/>
      <c r="X51"/>
      <c r="Y51"/>
      <c r="Z51"/>
    </row>
    <row r="52" spans="1:28" ht="15" customHeight="1" x14ac:dyDescent="0.25">
      <c r="A52" s="148" t="s">
        <v>45</v>
      </c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P52"/>
      <c r="Q52"/>
      <c r="R52"/>
      <c r="S52"/>
      <c r="T52"/>
      <c r="U52"/>
      <c r="V52"/>
      <c r="W52"/>
      <c r="X52"/>
      <c r="Y52"/>
      <c r="Z52"/>
    </row>
    <row r="53" spans="1:28" x14ac:dyDescent="0.25">
      <c r="A53" s="15" t="s">
        <v>46</v>
      </c>
      <c r="B53" s="172" t="s">
        <v>89</v>
      </c>
      <c r="C53" s="173"/>
      <c r="D53" s="173"/>
      <c r="E53" s="174"/>
      <c r="F53" s="4" t="s">
        <v>126</v>
      </c>
      <c r="G53" s="7" t="s">
        <v>3</v>
      </c>
      <c r="H53" s="7" t="s">
        <v>3</v>
      </c>
      <c r="I53" s="7" t="s">
        <v>3</v>
      </c>
      <c r="J53" s="7" t="s">
        <v>3</v>
      </c>
      <c r="K53" s="7" t="s">
        <v>3</v>
      </c>
      <c r="L53" s="7" t="s">
        <v>3</v>
      </c>
      <c r="M53" s="7" t="s">
        <v>3</v>
      </c>
      <c r="N53" s="7" t="s">
        <v>3</v>
      </c>
      <c r="P53"/>
      <c r="Q53"/>
      <c r="R53"/>
      <c r="S53"/>
      <c r="T53"/>
      <c r="U53"/>
      <c r="V53"/>
      <c r="W53"/>
      <c r="X53"/>
      <c r="Y53"/>
      <c r="Z53"/>
      <c r="AA53" s="87"/>
      <c r="AB53" s="87"/>
    </row>
    <row r="54" spans="1:28" x14ac:dyDescent="0.25">
      <c r="A54" s="79" t="s">
        <v>4</v>
      </c>
      <c r="B54" s="149" t="s">
        <v>48</v>
      </c>
      <c r="C54" s="150"/>
      <c r="D54" s="150"/>
      <c r="E54" s="151"/>
      <c r="F54" s="31">
        <v>0</v>
      </c>
      <c r="G54" s="80">
        <f t="shared" ref="G54" si="37">$F$54*G10</f>
        <v>0</v>
      </c>
      <c r="H54" s="80">
        <f t="shared" ref="H54:N54" si="38">$F$54*H10</f>
        <v>0</v>
      </c>
      <c r="I54" s="80">
        <f t="shared" si="38"/>
        <v>0</v>
      </c>
      <c r="J54" s="80">
        <f t="shared" si="38"/>
        <v>0</v>
      </c>
      <c r="K54" s="80">
        <f t="shared" si="38"/>
        <v>0</v>
      </c>
      <c r="L54" s="80">
        <f t="shared" si="38"/>
        <v>0</v>
      </c>
      <c r="M54" s="80">
        <f t="shared" si="38"/>
        <v>0</v>
      </c>
      <c r="N54" s="80">
        <f t="shared" si="38"/>
        <v>0</v>
      </c>
      <c r="P54"/>
      <c r="Q54"/>
      <c r="R54"/>
      <c r="S54"/>
      <c r="T54"/>
      <c r="U54"/>
      <c r="V54"/>
      <c r="W54"/>
      <c r="X54"/>
      <c r="Y54"/>
      <c r="Z54"/>
    </row>
    <row r="55" spans="1:28" x14ac:dyDescent="0.25">
      <c r="A55" s="79" t="s">
        <v>6</v>
      </c>
      <c r="B55" s="155" t="s">
        <v>47</v>
      </c>
      <c r="C55" s="156"/>
      <c r="D55" s="156"/>
      <c r="E55" s="157"/>
      <c r="F55" s="32">
        <v>2.8E-3</v>
      </c>
      <c r="G55" s="80">
        <f t="shared" ref="G55" si="39">$F$55*G10</f>
        <v>12.485200000000001</v>
      </c>
      <c r="H55" s="80">
        <f t="shared" ref="H55:N55" si="40">$F$55*H10</f>
        <v>12.485200000000001</v>
      </c>
      <c r="I55" s="80">
        <f t="shared" si="40"/>
        <v>10.408859999999999</v>
      </c>
      <c r="J55" s="80">
        <f t="shared" si="40"/>
        <v>11.544371999999999</v>
      </c>
      <c r="K55" s="80">
        <f t="shared" si="40"/>
        <v>10.408859999999999</v>
      </c>
      <c r="L55" s="80">
        <f t="shared" si="40"/>
        <v>11.544371999999999</v>
      </c>
      <c r="M55" s="80">
        <f t="shared" si="40"/>
        <v>10.408859999999999</v>
      </c>
      <c r="N55" s="80">
        <f t="shared" si="40"/>
        <v>10.408859999999999</v>
      </c>
      <c r="P55"/>
      <c r="Q55"/>
      <c r="R55"/>
      <c r="S55"/>
      <c r="T55"/>
      <c r="U55"/>
      <c r="V55"/>
      <c r="W55"/>
      <c r="X55"/>
      <c r="Y55"/>
      <c r="Z55"/>
    </row>
    <row r="56" spans="1:28" x14ac:dyDescent="0.25">
      <c r="A56" s="79" t="s">
        <v>18</v>
      </c>
      <c r="B56" s="155" t="s">
        <v>102</v>
      </c>
      <c r="C56" s="156"/>
      <c r="D56" s="156"/>
      <c r="E56" s="157"/>
      <c r="F56" s="31">
        <f>0.29%+0.02%</f>
        <v>3.0999999999999999E-3</v>
      </c>
      <c r="G56" s="80">
        <f t="shared" ref="G56" si="41">$F$56*G10</f>
        <v>13.822899999999999</v>
      </c>
      <c r="H56" s="80">
        <f t="shared" ref="H56:N56" si="42">$F$56*H10</f>
        <v>13.822899999999999</v>
      </c>
      <c r="I56" s="80">
        <f t="shared" si="42"/>
        <v>11.524094999999999</v>
      </c>
      <c r="J56" s="80">
        <f t="shared" si="42"/>
        <v>12.781268999999998</v>
      </c>
      <c r="K56" s="80">
        <f t="shared" si="42"/>
        <v>11.524094999999999</v>
      </c>
      <c r="L56" s="80">
        <f t="shared" si="42"/>
        <v>12.781268999999998</v>
      </c>
      <c r="M56" s="80">
        <f t="shared" si="42"/>
        <v>11.524094999999999</v>
      </c>
      <c r="N56" s="80">
        <f t="shared" si="42"/>
        <v>11.524094999999999</v>
      </c>
      <c r="P56"/>
      <c r="Q56"/>
      <c r="R56"/>
      <c r="S56"/>
      <c r="T56"/>
      <c r="U56"/>
      <c r="V56"/>
      <c r="W56"/>
      <c r="X56"/>
      <c r="Y56"/>
      <c r="Z56"/>
    </row>
    <row r="57" spans="1:28" x14ac:dyDescent="0.25">
      <c r="A57" s="79" t="s">
        <v>13</v>
      </c>
      <c r="B57" s="155" t="s">
        <v>49</v>
      </c>
      <c r="C57" s="156"/>
      <c r="D57" s="156"/>
      <c r="E57" s="157"/>
      <c r="F57" s="32">
        <v>6.9999999999999999E-4</v>
      </c>
      <c r="G57" s="80">
        <f t="shared" ref="G57" si="43">$F$57*G10</f>
        <v>3.1213000000000002</v>
      </c>
      <c r="H57" s="80">
        <f t="shared" ref="H57:N57" si="44">$F$57*H10</f>
        <v>3.1213000000000002</v>
      </c>
      <c r="I57" s="80">
        <f t="shared" si="44"/>
        <v>2.6022149999999997</v>
      </c>
      <c r="J57" s="80">
        <f t="shared" si="44"/>
        <v>2.8860929999999998</v>
      </c>
      <c r="K57" s="80">
        <f t="shared" si="44"/>
        <v>2.6022149999999997</v>
      </c>
      <c r="L57" s="80">
        <f t="shared" si="44"/>
        <v>2.8860929999999998</v>
      </c>
      <c r="M57" s="80">
        <f t="shared" si="44"/>
        <v>2.6022149999999997</v>
      </c>
      <c r="N57" s="80">
        <f t="shared" si="44"/>
        <v>2.6022149999999997</v>
      </c>
      <c r="P57"/>
      <c r="Q57"/>
      <c r="R57"/>
      <c r="S57"/>
      <c r="T57"/>
      <c r="U57"/>
      <c r="V57"/>
      <c r="W57"/>
      <c r="X57"/>
      <c r="Y57"/>
      <c r="Z57"/>
    </row>
    <row r="58" spans="1:28" x14ac:dyDescent="0.25">
      <c r="A58" s="79" t="s">
        <v>21</v>
      </c>
      <c r="B58" s="155" t="s">
        <v>50</v>
      </c>
      <c r="C58" s="156"/>
      <c r="D58" s="156"/>
      <c r="E58" s="157"/>
      <c r="F58" s="32">
        <v>1.3899999999999999E-2</v>
      </c>
      <c r="G58" s="80">
        <f t="shared" ref="G58" si="45">$F$58*G10</f>
        <v>61.980099999999993</v>
      </c>
      <c r="H58" s="80">
        <f t="shared" ref="H58:N58" si="46">$F$58*H10</f>
        <v>61.980099999999993</v>
      </c>
      <c r="I58" s="80">
        <f t="shared" si="46"/>
        <v>51.672554999999996</v>
      </c>
      <c r="J58" s="80">
        <f t="shared" si="46"/>
        <v>57.309560999999995</v>
      </c>
      <c r="K58" s="80">
        <f t="shared" si="46"/>
        <v>51.672554999999996</v>
      </c>
      <c r="L58" s="80">
        <f t="shared" si="46"/>
        <v>57.309560999999995</v>
      </c>
      <c r="M58" s="80">
        <f t="shared" si="46"/>
        <v>51.672554999999996</v>
      </c>
      <c r="N58" s="80">
        <f t="shared" si="46"/>
        <v>51.672554999999996</v>
      </c>
    </row>
    <row r="59" spans="1:28" x14ac:dyDescent="0.25">
      <c r="A59" s="79" t="s">
        <v>23</v>
      </c>
      <c r="B59" s="149" t="s">
        <v>51</v>
      </c>
      <c r="C59" s="150"/>
      <c r="D59" s="150"/>
      <c r="E59" s="151"/>
      <c r="F59" s="32">
        <v>0</v>
      </c>
      <c r="G59" s="80">
        <f t="shared" ref="G59" si="47">$F$59*G10</f>
        <v>0</v>
      </c>
      <c r="H59" s="80">
        <f t="shared" ref="H59:N59" si="48">$F$59*H10</f>
        <v>0</v>
      </c>
      <c r="I59" s="80">
        <f t="shared" si="48"/>
        <v>0</v>
      </c>
      <c r="J59" s="80">
        <f t="shared" si="48"/>
        <v>0</v>
      </c>
      <c r="K59" s="80">
        <f t="shared" si="48"/>
        <v>0</v>
      </c>
      <c r="L59" s="80">
        <f t="shared" si="48"/>
        <v>0</v>
      </c>
      <c r="M59" s="80">
        <f t="shared" si="48"/>
        <v>0</v>
      </c>
      <c r="N59" s="80">
        <f t="shared" si="48"/>
        <v>0</v>
      </c>
      <c r="P59" s="148" t="s">
        <v>701</v>
      </c>
      <c r="Q59" s="148"/>
      <c r="R59" s="148"/>
      <c r="S59" s="148"/>
      <c r="T59" s="148"/>
      <c r="U59" s="148"/>
      <c r="V59" s="148"/>
      <c r="W59" s="148"/>
      <c r="X59" s="148"/>
      <c r="Y59" s="148"/>
      <c r="Z59" s="148"/>
      <c r="AA59" s="148"/>
      <c r="AB59" s="148"/>
    </row>
    <row r="60" spans="1:28" x14ac:dyDescent="0.25">
      <c r="A60" s="159" t="s">
        <v>97</v>
      </c>
      <c r="B60" s="159"/>
      <c r="C60" s="159"/>
      <c r="D60" s="159"/>
      <c r="E60" s="159"/>
      <c r="F60" s="33">
        <f t="shared" ref="F60:L60" si="49">SUM(F54:F59)</f>
        <v>2.0499999999999997E-2</v>
      </c>
      <c r="G60" s="7">
        <f t="shared" si="49"/>
        <v>91.409499999999994</v>
      </c>
      <c r="H60" s="7">
        <f t="shared" si="49"/>
        <v>91.409499999999994</v>
      </c>
      <c r="I60" s="7">
        <f t="shared" si="49"/>
        <v>76.207724999999996</v>
      </c>
      <c r="J60" s="7">
        <f t="shared" si="49"/>
        <v>84.521294999999995</v>
      </c>
      <c r="K60" s="7">
        <f t="shared" si="49"/>
        <v>76.207724999999996</v>
      </c>
      <c r="L60" s="7">
        <f t="shared" si="49"/>
        <v>84.521294999999995</v>
      </c>
      <c r="M60" s="7">
        <f t="shared" ref="M60:N60" si="50">SUM(M54:M59)</f>
        <v>76.207724999999996</v>
      </c>
      <c r="N60" s="7">
        <f t="shared" si="50"/>
        <v>76.207724999999996</v>
      </c>
      <c r="P60" s="163" t="s">
        <v>85</v>
      </c>
      <c r="Q60" s="163"/>
      <c r="R60" s="163" t="s">
        <v>127</v>
      </c>
      <c r="S60" s="163" t="s">
        <v>112</v>
      </c>
      <c r="T60" s="163" t="s">
        <v>113</v>
      </c>
      <c r="U60" s="163" t="s">
        <v>103</v>
      </c>
      <c r="V60" s="163" t="s">
        <v>693</v>
      </c>
      <c r="W60" s="163" t="s">
        <v>692</v>
      </c>
      <c r="X60" s="163" t="s">
        <v>694</v>
      </c>
      <c r="Y60" s="163" t="s">
        <v>678</v>
      </c>
      <c r="Z60" s="163" t="s">
        <v>679</v>
      </c>
      <c r="AA60" s="163" t="s">
        <v>682</v>
      </c>
      <c r="AB60" s="163" t="s">
        <v>683</v>
      </c>
    </row>
    <row r="61" spans="1:28" s="87" customFormat="1" x14ac:dyDescent="0.25"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4" t="s">
        <v>52</v>
      </c>
      <c r="B62" s="172" t="s">
        <v>90</v>
      </c>
      <c r="C62" s="173"/>
      <c r="D62" s="173"/>
      <c r="E62" s="174"/>
      <c r="F62" s="102"/>
      <c r="G62" s="7" t="s">
        <v>3</v>
      </c>
      <c r="H62" s="7" t="s">
        <v>3</v>
      </c>
      <c r="I62" s="7" t="s">
        <v>3</v>
      </c>
      <c r="J62" s="7" t="s">
        <v>3</v>
      </c>
      <c r="K62" s="7" t="s">
        <v>3</v>
      </c>
      <c r="L62" s="7" t="s">
        <v>3</v>
      </c>
      <c r="M62" s="7" t="s">
        <v>3</v>
      </c>
      <c r="N62" s="7" t="s">
        <v>3</v>
      </c>
      <c r="P62" s="206">
        <v>1</v>
      </c>
      <c r="Q62" s="207"/>
      <c r="R62" s="203" t="s">
        <v>121</v>
      </c>
      <c r="S62" s="203" t="s">
        <v>114</v>
      </c>
      <c r="T62" s="203" t="s">
        <v>116</v>
      </c>
      <c r="U62" s="200" t="s">
        <v>124</v>
      </c>
      <c r="V62" s="200">
        <v>2</v>
      </c>
      <c r="W62" s="200">
        <v>1</v>
      </c>
      <c r="X62" s="51">
        <v>2</v>
      </c>
      <c r="Y62" s="130">
        <v>2</v>
      </c>
      <c r="Z62" s="130"/>
      <c r="AA62" s="218">
        <f>Y62+Z62</f>
        <v>2</v>
      </c>
      <c r="AB62" s="215">
        <f>(Y64+Z64)/AA62</f>
        <v>153.90166666666667</v>
      </c>
    </row>
    <row r="63" spans="1:28" ht="15" customHeight="1" x14ac:dyDescent="0.25">
      <c r="A63" s="79" t="s">
        <v>4</v>
      </c>
      <c r="B63" s="149" t="s">
        <v>54</v>
      </c>
      <c r="C63" s="150"/>
      <c r="D63" s="150"/>
      <c r="E63" s="151"/>
      <c r="F63" s="32"/>
      <c r="G63" s="80">
        <f t="shared" ref="G63:N63" si="51">$F$63*G10</f>
        <v>0</v>
      </c>
      <c r="H63" s="80">
        <f t="shared" si="51"/>
        <v>0</v>
      </c>
      <c r="I63" s="80">
        <f t="shared" si="51"/>
        <v>0</v>
      </c>
      <c r="J63" s="80">
        <f t="shared" si="51"/>
        <v>0</v>
      </c>
      <c r="K63" s="80">
        <f t="shared" si="51"/>
        <v>0</v>
      </c>
      <c r="L63" s="80">
        <f t="shared" si="51"/>
        <v>0</v>
      </c>
      <c r="M63" s="80">
        <f t="shared" si="51"/>
        <v>0</v>
      </c>
      <c r="N63" s="80">
        <f t="shared" si="51"/>
        <v>0</v>
      </c>
      <c r="P63" s="208"/>
      <c r="Q63" s="209"/>
      <c r="R63" s="204"/>
      <c r="S63" s="204"/>
      <c r="T63" s="204"/>
      <c r="U63" s="201"/>
      <c r="V63" s="201"/>
      <c r="W63" s="201"/>
      <c r="X63" s="51" t="s">
        <v>684</v>
      </c>
      <c r="Y63" s="139">
        <f>'Uniformes e Materiais'!$O$13</f>
        <v>153.90166666666667</v>
      </c>
      <c r="Z63" s="139">
        <f>'Uniformes e Materiais'!$O$24</f>
        <v>210.3016666666667</v>
      </c>
      <c r="AA63" s="216"/>
      <c r="AB63" s="216"/>
    </row>
    <row r="64" spans="1:28" x14ac:dyDescent="0.25">
      <c r="A64" s="103"/>
      <c r="B64" s="152" t="s">
        <v>3</v>
      </c>
      <c r="C64" s="153"/>
      <c r="D64" s="153"/>
      <c r="E64" s="154"/>
      <c r="F64" s="104"/>
      <c r="G64" s="105">
        <f>F64*$K$10</f>
        <v>0</v>
      </c>
      <c r="H64" s="105">
        <f t="shared" ref="H64:N64" si="52">G64*$K$10</f>
        <v>0</v>
      </c>
      <c r="I64" s="105">
        <f t="shared" si="52"/>
        <v>0</v>
      </c>
      <c r="J64" s="105">
        <f t="shared" si="52"/>
        <v>0</v>
      </c>
      <c r="K64" s="105">
        <f t="shared" si="52"/>
        <v>0</v>
      </c>
      <c r="L64" s="105">
        <f t="shared" si="52"/>
        <v>0</v>
      </c>
      <c r="M64" s="105">
        <f t="shared" si="52"/>
        <v>0</v>
      </c>
      <c r="N64" s="105">
        <f t="shared" si="52"/>
        <v>0</v>
      </c>
      <c r="P64" s="210"/>
      <c r="Q64" s="211"/>
      <c r="R64" s="205"/>
      <c r="S64" s="205"/>
      <c r="T64" s="205"/>
      <c r="U64" s="202"/>
      <c r="V64" s="202"/>
      <c r="W64" s="202"/>
      <c r="X64" s="51" t="s">
        <v>685</v>
      </c>
      <c r="Y64" s="139">
        <f>Y62*Y63</f>
        <v>307.80333333333334</v>
      </c>
      <c r="Z64" s="139"/>
      <c r="AA64" s="217"/>
      <c r="AB64" s="217"/>
    </row>
    <row r="65" spans="1:28" ht="15" customHeight="1" x14ac:dyDescent="0.25">
      <c r="A65" s="159" t="s">
        <v>98</v>
      </c>
      <c r="B65" s="159"/>
      <c r="C65" s="159"/>
      <c r="D65" s="159"/>
      <c r="E65" s="159"/>
      <c r="F65" s="11">
        <f t="shared" ref="F65:L65" si="53">SUM(F63:F64)</f>
        <v>0</v>
      </c>
      <c r="G65" s="7">
        <f t="shared" si="53"/>
        <v>0</v>
      </c>
      <c r="H65" s="7">
        <f t="shared" si="53"/>
        <v>0</v>
      </c>
      <c r="I65" s="7">
        <f t="shared" si="53"/>
        <v>0</v>
      </c>
      <c r="J65" s="7">
        <f t="shared" si="53"/>
        <v>0</v>
      </c>
      <c r="K65" s="7">
        <f t="shared" si="53"/>
        <v>0</v>
      </c>
      <c r="L65" s="7">
        <f t="shared" si="53"/>
        <v>0</v>
      </c>
      <c r="M65" s="7">
        <f t="shared" ref="M65:N65" si="54">SUM(M63:M64)</f>
        <v>0</v>
      </c>
      <c r="N65" s="7">
        <f t="shared" si="54"/>
        <v>0</v>
      </c>
      <c r="P65" s="206">
        <v>2</v>
      </c>
      <c r="Q65" s="207"/>
      <c r="R65" s="203" t="s">
        <v>121</v>
      </c>
      <c r="S65" s="203" t="s">
        <v>114</v>
      </c>
      <c r="T65" s="203" t="s">
        <v>116</v>
      </c>
      <c r="U65" s="200" t="s">
        <v>125</v>
      </c>
      <c r="V65" s="200">
        <v>1</v>
      </c>
      <c r="W65" s="200">
        <v>1</v>
      </c>
      <c r="X65" s="51">
        <v>1</v>
      </c>
      <c r="Y65" s="130">
        <v>1</v>
      </c>
      <c r="Z65" s="130"/>
      <c r="AA65" s="218">
        <f>Y65+Z65</f>
        <v>1</v>
      </c>
      <c r="AB65" s="215">
        <f t="shared" ref="AB65" si="55">(Y67+Z67)/AA65</f>
        <v>153.90166666666667</v>
      </c>
    </row>
    <row r="66" spans="1:28" ht="15" customHeight="1" x14ac:dyDescent="0.25">
      <c r="A66" s="21"/>
      <c r="B66" s="21"/>
      <c r="C66" s="34"/>
      <c r="D66" s="34"/>
      <c r="E66" s="34"/>
      <c r="F66" s="35"/>
      <c r="G66" s="18"/>
      <c r="H66" s="18"/>
      <c r="I66" s="18"/>
      <c r="J66" s="18"/>
      <c r="K66" s="18"/>
      <c r="L66" s="18"/>
      <c r="M66" s="18"/>
      <c r="N66" s="18"/>
      <c r="P66" s="208"/>
      <c r="Q66" s="209"/>
      <c r="R66" s="204"/>
      <c r="S66" s="204"/>
      <c r="T66" s="204"/>
      <c r="U66" s="201"/>
      <c r="V66" s="201"/>
      <c r="W66" s="201"/>
      <c r="X66" s="51" t="s">
        <v>684</v>
      </c>
      <c r="Y66" s="139">
        <f>'Uniformes e Materiais'!$O$13</f>
        <v>153.90166666666667</v>
      </c>
      <c r="Z66" s="139">
        <f>'Uniformes e Materiais'!$O$24</f>
        <v>210.3016666666667</v>
      </c>
      <c r="AA66" s="216"/>
      <c r="AB66" s="216"/>
    </row>
    <row r="67" spans="1:28" x14ac:dyDescent="0.25">
      <c r="A67" s="159" t="s">
        <v>91</v>
      </c>
      <c r="B67" s="159"/>
      <c r="C67" s="159"/>
      <c r="D67" s="159"/>
      <c r="E67" s="159"/>
      <c r="F67" s="4" t="s">
        <v>126</v>
      </c>
      <c r="G67" s="7" t="s">
        <v>3</v>
      </c>
      <c r="H67" s="7" t="s">
        <v>3</v>
      </c>
      <c r="I67" s="7" t="s">
        <v>3</v>
      </c>
      <c r="J67" s="7" t="s">
        <v>3</v>
      </c>
      <c r="K67" s="7" t="s">
        <v>3</v>
      </c>
      <c r="L67" s="7" t="s">
        <v>3</v>
      </c>
      <c r="M67" s="7" t="s">
        <v>3</v>
      </c>
      <c r="N67" s="7" t="s">
        <v>3</v>
      </c>
      <c r="P67" s="210"/>
      <c r="Q67" s="211"/>
      <c r="R67" s="205"/>
      <c r="S67" s="205"/>
      <c r="T67" s="205"/>
      <c r="U67" s="202"/>
      <c r="V67" s="202"/>
      <c r="W67" s="202"/>
      <c r="X67" s="51" t="s">
        <v>685</v>
      </c>
      <c r="Y67" s="139">
        <f>Y65*Y66</f>
        <v>153.90166666666667</v>
      </c>
      <c r="Z67" s="139"/>
      <c r="AA67" s="217"/>
      <c r="AB67" s="217"/>
    </row>
    <row r="68" spans="1:28" ht="15" customHeight="1" x14ac:dyDescent="0.25">
      <c r="A68" s="93" t="s">
        <v>46</v>
      </c>
      <c r="B68" s="166" t="s">
        <v>47</v>
      </c>
      <c r="C68" s="167"/>
      <c r="D68" s="167"/>
      <c r="E68" s="168"/>
      <c r="F68" s="106"/>
      <c r="G68" s="96">
        <f t="shared" ref="G68:N68" si="56">G60</f>
        <v>91.409499999999994</v>
      </c>
      <c r="H68" s="96">
        <f t="shared" si="56"/>
        <v>91.409499999999994</v>
      </c>
      <c r="I68" s="96">
        <f t="shared" si="56"/>
        <v>76.207724999999996</v>
      </c>
      <c r="J68" s="96">
        <f t="shared" si="56"/>
        <v>84.521294999999995</v>
      </c>
      <c r="K68" s="96">
        <f t="shared" si="56"/>
        <v>76.207724999999996</v>
      </c>
      <c r="L68" s="96">
        <f t="shared" si="56"/>
        <v>84.521294999999995</v>
      </c>
      <c r="M68" s="96">
        <f t="shared" si="56"/>
        <v>76.207724999999996</v>
      </c>
      <c r="N68" s="96">
        <f t="shared" si="56"/>
        <v>76.207724999999996</v>
      </c>
      <c r="P68" s="206">
        <v>3</v>
      </c>
      <c r="Q68" s="207"/>
      <c r="R68" s="203" t="s">
        <v>122</v>
      </c>
      <c r="S68" s="203" t="s">
        <v>114</v>
      </c>
      <c r="T68" s="212" t="s">
        <v>117</v>
      </c>
      <c r="U68" s="200" t="s">
        <v>124</v>
      </c>
      <c r="V68" s="200">
        <v>2</v>
      </c>
      <c r="W68" s="200">
        <v>7</v>
      </c>
      <c r="X68" s="51">
        <v>14</v>
      </c>
      <c r="Y68" s="130">
        <v>4</v>
      </c>
      <c r="Z68" s="130">
        <v>10</v>
      </c>
      <c r="AA68" s="218">
        <f>Y68+Z68</f>
        <v>14</v>
      </c>
      <c r="AB68" s="215">
        <f t="shared" ref="AB68" si="57">(Y70+Z70)/AA68</f>
        <v>194.18738095238095</v>
      </c>
    </row>
    <row r="69" spans="1:28" ht="15" customHeight="1" x14ac:dyDescent="0.25">
      <c r="A69" s="90" t="s">
        <v>52</v>
      </c>
      <c r="B69" s="169" t="s">
        <v>53</v>
      </c>
      <c r="C69" s="170"/>
      <c r="D69" s="170"/>
      <c r="E69" s="171"/>
      <c r="F69" s="91"/>
      <c r="G69" s="105">
        <f t="shared" ref="G69:N69" si="58">G65</f>
        <v>0</v>
      </c>
      <c r="H69" s="105">
        <f t="shared" si="58"/>
        <v>0</v>
      </c>
      <c r="I69" s="105">
        <f t="shared" si="58"/>
        <v>0</v>
      </c>
      <c r="J69" s="105">
        <f t="shared" si="58"/>
        <v>0</v>
      </c>
      <c r="K69" s="105">
        <f t="shared" si="58"/>
        <v>0</v>
      </c>
      <c r="L69" s="105">
        <f t="shared" si="58"/>
        <v>0</v>
      </c>
      <c r="M69" s="105">
        <f t="shared" si="58"/>
        <v>0</v>
      </c>
      <c r="N69" s="105">
        <f t="shared" si="58"/>
        <v>0</v>
      </c>
      <c r="P69" s="208"/>
      <c r="Q69" s="209"/>
      <c r="R69" s="204"/>
      <c r="S69" s="204"/>
      <c r="T69" s="213"/>
      <c r="U69" s="201"/>
      <c r="V69" s="201"/>
      <c r="W69" s="201"/>
      <c r="X69" s="51" t="s">
        <v>684</v>
      </c>
      <c r="Y69" s="139">
        <f>'Uniformes e Materiais'!$O$13</f>
        <v>153.90166666666667</v>
      </c>
      <c r="Z69" s="139">
        <f>'Uniformes e Materiais'!$O$24</f>
        <v>210.3016666666667</v>
      </c>
      <c r="AA69" s="216"/>
      <c r="AB69" s="216"/>
    </row>
    <row r="70" spans="1:28" x14ac:dyDescent="0.25">
      <c r="A70" s="158" t="s">
        <v>99</v>
      </c>
      <c r="B70" s="158"/>
      <c r="C70" s="158"/>
      <c r="D70" s="158"/>
      <c r="E70" s="158"/>
      <c r="F70" s="36"/>
      <c r="G70" s="13">
        <f t="shared" ref="G70:N70" si="59">SUM(G68:G69)</f>
        <v>91.409499999999994</v>
      </c>
      <c r="H70" s="13">
        <f t="shared" si="59"/>
        <v>91.409499999999994</v>
      </c>
      <c r="I70" s="13">
        <f t="shared" si="59"/>
        <v>76.207724999999996</v>
      </c>
      <c r="J70" s="13">
        <f t="shared" si="59"/>
        <v>84.521294999999995</v>
      </c>
      <c r="K70" s="13">
        <f t="shared" si="59"/>
        <v>76.207724999999996</v>
      </c>
      <c r="L70" s="13">
        <f t="shared" si="59"/>
        <v>84.521294999999995</v>
      </c>
      <c r="M70" s="13">
        <f t="shared" si="59"/>
        <v>76.207724999999996</v>
      </c>
      <c r="N70" s="13">
        <f t="shared" si="59"/>
        <v>76.207724999999996</v>
      </c>
      <c r="P70" s="210"/>
      <c r="Q70" s="211"/>
      <c r="R70" s="205"/>
      <c r="S70" s="205"/>
      <c r="T70" s="214"/>
      <c r="U70" s="202"/>
      <c r="V70" s="202"/>
      <c r="W70" s="202"/>
      <c r="X70" s="51" t="s">
        <v>685</v>
      </c>
      <c r="Y70" s="139">
        <f>Y68*Y69</f>
        <v>615.60666666666668</v>
      </c>
      <c r="Z70" s="139">
        <f>Z68*Z69</f>
        <v>2103.0166666666669</v>
      </c>
      <c r="AA70" s="217"/>
      <c r="AB70" s="217"/>
    </row>
    <row r="71" spans="1:28" x14ac:dyDescent="0.25">
      <c r="C71" s="28"/>
      <c r="P71" s="206">
        <v>4</v>
      </c>
      <c r="Q71" s="207"/>
      <c r="R71" s="203" t="s">
        <v>122</v>
      </c>
      <c r="S71" s="203" t="s">
        <v>115</v>
      </c>
      <c r="T71" s="203" t="s">
        <v>117</v>
      </c>
      <c r="U71" s="200" t="s">
        <v>124</v>
      </c>
      <c r="V71" s="200">
        <v>2</v>
      </c>
      <c r="W71" s="200">
        <v>7</v>
      </c>
      <c r="X71" s="51">
        <v>14</v>
      </c>
      <c r="Y71" s="130">
        <v>2</v>
      </c>
      <c r="Z71" s="130">
        <v>12</v>
      </c>
      <c r="AA71" s="218">
        <f>Y71+Z71</f>
        <v>14</v>
      </c>
      <c r="AB71" s="215">
        <f t="shared" ref="AB71" si="60">(Y73+Z73)/AA71</f>
        <v>202.24452380952383</v>
      </c>
    </row>
    <row r="72" spans="1:28" ht="15" customHeight="1" x14ac:dyDescent="0.25">
      <c r="A72" s="148" t="s">
        <v>55</v>
      </c>
      <c r="B72" s="148"/>
      <c r="C72" s="148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P72" s="208"/>
      <c r="Q72" s="209"/>
      <c r="R72" s="204"/>
      <c r="S72" s="204"/>
      <c r="T72" s="204"/>
      <c r="U72" s="201"/>
      <c r="V72" s="201"/>
      <c r="W72" s="201"/>
      <c r="X72" s="51" t="s">
        <v>684</v>
      </c>
      <c r="Y72" s="139">
        <f>'Uniformes e Materiais'!$O$13</f>
        <v>153.90166666666667</v>
      </c>
      <c r="Z72" s="139">
        <f>'Uniformes e Materiais'!$O$24</f>
        <v>210.3016666666667</v>
      </c>
      <c r="AA72" s="216"/>
      <c r="AB72" s="216"/>
    </row>
    <row r="73" spans="1:28" ht="15.75" customHeight="1" x14ac:dyDescent="0.25">
      <c r="A73" s="15">
        <v>5</v>
      </c>
      <c r="B73" s="175" t="s">
        <v>56</v>
      </c>
      <c r="C73" s="176"/>
      <c r="D73" s="176"/>
      <c r="E73" s="177"/>
      <c r="F73" s="22" t="s">
        <v>84</v>
      </c>
      <c r="G73" s="14" t="s">
        <v>3</v>
      </c>
      <c r="H73" s="14" t="s">
        <v>3</v>
      </c>
      <c r="I73" s="14" t="s">
        <v>3</v>
      </c>
      <c r="J73" s="14" t="s">
        <v>3</v>
      </c>
      <c r="K73" s="14" t="s">
        <v>3</v>
      </c>
      <c r="L73" s="14" t="s">
        <v>3</v>
      </c>
      <c r="M73" s="14" t="s">
        <v>3</v>
      </c>
      <c r="N73" s="14" t="s">
        <v>3</v>
      </c>
      <c r="P73" s="210"/>
      <c r="Q73" s="211"/>
      <c r="R73" s="205"/>
      <c r="S73" s="205"/>
      <c r="T73" s="205"/>
      <c r="U73" s="202"/>
      <c r="V73" s="202"/>
      <c r="W73" s="202"/>
      <c r="X73" s="51" t="s">
        <v>685</v>
      </c>
      <c r="Y73" s="139">
        <f>Y71*Y72</f>
        <v>307.80333333333334</v>
      </c>
      <c r="Z73" s="139">
        <f>Z71*Z72</f>
        <v>2523.6200000000003</v>
      </c>
      <c r="AA73" s="217"/>
      <c r="AB73" s="217"/>
    </row>
    <row r="74" spans="1:28" x14ac:dyDescent="0.25">
      <c r="A74" s="79" t="s">
        <v>4</v>
      </c>
      <c r="B74" s="149" t="s">
        <v>672</v>
      </c>
      <c r="C74" s="150"/>
      <c r="D74" s="150"/>
      <c r="E74" s="151"/>
      <c r="F74" s="107">
        <f>'Uniformes e Materiais'!O13</f>
        <v>153.90166666666667</v>
      </c>
      <c r="G74" s="99">
        <f>AB62</f>
        <v>153.90166666666667</v>
      </c>
      <c r="H74" s="99">
        <f>AB65</f>
        <v>153.90166666666667</v>
      </c>
      <c r="I74" s="164">
        <f>AB68</f>
        <v>194.18738095238095</v>
      </c>
      <c r="J74" s="164">
        <f>AB71</f>
        <v>202.24452380952383</v>
      </c>
      <c r="L74" s="80"/>
      <c r="M74" s="164">
        <f>AB80</f>
        <v>195.37225490196082</v>
      </c>
      <c r="N74" s="99"/>
      <c r="O74" s="108"/>
      <c r="P74" s="206">
        <v>5</v>
      </c>
      <c r="Q74" s="207"/>
      <c r="R74" s="203" t="s">
        <v>122</v>
      </c>
      <c r="S74" s="203" t="s">
        <v>114</v>
      </c>
      <c r="T74" s="203" t="s">
        <v>116</v>
      </c>
      <c r="U74" s="200" t="s">
        <v>124</v>
      </c>
      <c r="V74" s="200">
        <v>2</v>
      </c>
      <c r="W74" s="200">
        <v>2</v>
      </c>
      <c r="X74" s="51">
        <v>4</v>
      </c>
      <c r="Y74" s="130"/>
      <c r="Z74" s="130">
        <v>4</v>
      </c>
      <c r="AA74" s="218">
        <f>Y74+Z74</f>
        <v>4</v>
      </c>
      <c r="AB74" s="215">
        <f t="shared" ref="AB74" si="61">(Y76+Z76)/AA74</f>
        <v>210.3016666666667</v>
      </c>
    </row>
    <row r="75" spans="1:28" x14ac:dyDescent="0.25">
      <c r="A75" s="79" t="s">
        <v>6</v>
      </c>
      <c r="B75" s="178" t="s">
        <v>674</v>
      </c>
      <c r="C75" s="179"/>
      <c r="D75" s="179"/>
      <c r="E75" s="180"/>
      <c r="F75" s="107">
        <f>'Uniformes e Materiais'!O24</f>
        <v>210.3016666666667</v>
      </c>
      <c r="G75" s="99"/>
      <c r="H75" s="99"/>
      <c r="I75" s="165"/>
      <c r="J75" s="165"/>
      <c r="K75" s="99">
        <f>AB74</f>
        <v>210.3016666666667</v>
      </c>
      <c r="L75" s="99">
        <f>AB77</f>
        <v>210.3016666666667</v>
      </c>
      <c r="M75" s="165"/>
      <c r="N75" s="99">
        <f>AB83</f>
        <v>210.3016666666667</v>
      </c>
      <c r="P75" s="208"/>
      <c r="Q75" s="209"/>
      <c r="R75" s="204"/>
      <c r="S75" s="204"/>
      <c r="T75" s="204"/>
      <c r="U75" s="201"/>
      <c r="V75" s="201"/>
      <c r="W75" s="201"/>
      <c r="X75" s="51" t="s">
        <v>684</v>
      </c>
      <c r="Y75" s="139">
        <f>'Uniformes e Materiais'!$O$13</f>
        <v>153.90166666666667</v>
      </c>
      <c r="Z75" s="139">
        <f>'Uniformes e Materiais'!$O$24</f>
        <v>210.3016666666667</v>
      </c>
      <c r="AA75" s="216"/>
      <c r="AB75" s="216"/>
    </row>
    <row r="76" spans="1:28" x14ac:dyDescent="0.25">
      <c r="A76" s="79" t="s">
        <v>18</v>
      </c>
      <c r="B76" s="149" t="s">
        <v>57</v>
      </c>
      <c r="C76" s="150"/>
      <c r="D76" s="150"/>
      <c r="E76" s="151"/>
      <c r="F76" s="107">
        <f>'Uniformes e Materiais'!P32</f>
        <v>0.33444444444444449</v>
      </c>
      <c r="G76" s="99"/>
      <c r="H76" s="99"/>
      <c r="I76" s="99">
        <f t="shared" ref="I76:M76" si="62">$F76</f>
        <v>0.33444444444444449</v>
      </c>
      <c r="J76" s="99">
        <f t="shared" si="62"/>
        <v>0.33444444444444449</v>
      </c>
      <c r="K76" s="99">
        <f t="shared" si="62"/>
        <v>0.33444444444444449</v>
      </c>
      <c r="L76" s="99">
        <f t="shared" si="62"/>
        <v>0.33444444444444449</v>
      </c>
      <c r="M76" s="99">
        <f t="shared" si="62"/>
        <v>0.33444444444444449</v>
      </c>
      <c r="N76" s="99"/>
      <c r="P76" s="210"/>
      <c r="Q76" s="211"/>
      <c r="R76" s="205"/>
      <c r="S76" s="205"/>
      <c r="T76" s="205"/>
      <c r="U76" s="202"/>
      <c r="V76" s="202"/>
      <c r="W76" s="202"/>
      <c r="X76" s="51" t="s">
        <v>685</v>
      </c>
      <c r="Y76" s="139"/>
      <c r="Z76" s="139">
        <f>Z74*Z75</f>
        <v>841.20666666666682</v>
      </c>
      <c r="AA76" s="217"/>
      <c r="AB76" s="217"/>
    </row>
    <row r="77" spans="1:28" x14ac:dyDescent="0.25">
      <c r="A77" s="79" t="s">
        <v>13</v>
      </c>
      <c r="B77" s="149" t="s">
        <v>668</v>
      </c>
      <c r="C77" s="150"/>
      <c r="D77" s="150"/>
      <c r="E77" s="151"/>
      <c r="F77" s="107">
        <f>'Uniformes e Materiais'!Q47</f>
        <v>5.0812970085470077</v>
      </c>
      <c r="G77" s="99"/>
      <c r="H77" s="99"/>
      <c r="I77" s="99">
        <f>$F$77</f>
        <v>5.0812970085470077</v>
      </c>
      <c r="J77" s="99">
        <f t="shared" ref="J77:M77" si="63">$F$77</f>
        <v>5.0812970085470077</v>
      </c>
      <c r="K77" s="99">
        <f t="shared" si="63"/>
        <v>5.0812970085470077</v>
      </c>
      <c r="L77" s="99">
        <f t="shared" si="63"/>
        <v>5.0812970085470077</v>
      </c>
      <c r="M77" s="99">
        <f t="shared" si="63"/>
        <v>5.0812970085470077</v>
      </c>
      <c r="N77" s="99"/>
      <c r="P77" s="206">
        <v>6</v>
      </c>
      <c r="Q77" s="207"/>
      <c r="R77" s="203" t="s">
        <v>122</v>
      </c>
      <c r="S77" s="203" t="s">
        <v>115</v>
      </c>
      <c r="T77" s="203" t="s">
        <v>116</v>
      </c>
      <c r="U77" s="200" t="s">
        <v>124</v>
      </c>
      <c r="V77" s="200">
        <v>2</v>
      </c>
      <c r="W77" s="200">
        <v>6</v>
      </c>
      <c r="X77" s="51">
        <v>12</v>
      </c>
      <c r="Y77" s="130"/>
      <c r="Z77" s="130">
        <v>12</v>
      </c>
      <c r="AA77" s="218">
        <f>Y77+Z77</f>
        <v>12</v>
      </c>
      <c r="AB77" s="215">
        <f t="shared" ref="AB77" si="64">(Y79+Z79)/AA77</f>
        <v>210.3016666666667</v>
      </c>
    </row>
    <row r="78" spans="1:28" x14ac:dyDescent="0.25">
      <c r="A78" s="79" t="s">
        <v>21</v>
      </c>
      <c r="B78" s="149" t="s">
        <v>517</v>
      </c>
      <c r="C78" s="150"/>
      <c r="D78" s="150"/>
      <c r="E78" s="151"/>
      <c r="F78" s="107">
        <f>'Uniformes e Materiais'!Q60</f>
        <v>9.2318452380952376</v>
      </c>
      <c r="G78" s="99"/>
      <c r="H78" s="99"/>
      <c r="I78" s="99">
        <f>$F$78</f>
        <v>9.2318452380952376</v>
      </c>
      <c r="J78" s="99">
        <f>$F$78</f>
        <v>9.2318452380952376</v>
      </c>
      <c r="K78" s="99"/>
      <c r="L78" s="99"/>
      <c r="M78" s="99"/>
      <c r="N78" s="99"/>
      <c r="P78" s="208"/>
      <c r="Q78" s="209"/>
      <c r="R78" s="204"/>
      <c r="S78" s="204"/>
      <c r="T78" s="204"/>
      <c r="U78" s="201"/>
      <c r="V78" s="201"/>
      <c r="W78" s="201"/>
      <c r="X78" s="51" t="s">
        <v>684</v>
      </c>
      <c r="Y78" s="139">
        <f>'Uniformes e Materiais'!$O$13</f>
        <v>153.90166666666667</v>
      </c>
      <c r="Z78" s="139">
        <f>'Uniformes e Materiais'!$O$24</f>
        <v>210.3016666666667</v>
      </c>
      <c r="AA78" s="216"/>
      <c r="AB78" s="216"/>
    </row>
    <row r="79" spans="1:28" x14ac:dyDescent="0.25">
      <c r="A79" s="79" t="s">
        <v>23</v>
      </c>
      <c r="B79" s="178" t="s">
        <v>88</v>
      </c>
      <c r="C79" s="179"/>
      <c r="D79" s="179"/>
      <c r="E79" s="180"/>
      <c r="F79" s="81"/>
      <c r="G79" s="99"/>
      <c r="H79" s="99"/>
      <c r="I79" s="99"/>
      <c r="J79" s="99"/>
      <c r="K79" s="99"/>
      <c r="L79" s="99"/>
      <c r="M79" s="99"/>
      <c r="N79" s="99"/>
      <c r="P79" s="210"/>
      <c r="Q79" s="211"/>
      <c r="R79" s="205"/>
      <c r="S79" s="205"/>
      <c r="T79" s="205"/>
      <c r="U79" s="202"/>
      <c r="V79" s="202"/>
      <c r="W79" s="202"/>
      <c r="X79" s="51" t="s">
        <v>685</v>
      </c>
      <c r="Y79" s="139"/>
      <c r="Z79" s="139">
        <f>Z77*Z78</f>
        <v>2523.6200000000003</v>
      </c>
      <c r="AA79" s="217"/>
      <c r="AB79" s="217"/>
    </row>
    <row r="80" spans="1:28" x14ac:dyDescent="0.25">
      <c r="A80" s="158" t="s">
        <v>58</v>
      </c>
      <c r="B80" s="158"/>
      <c r="C80" s="158"/>
      <c r="D80" s="158"/>
      <c r="E80" s="158"/>
      <c r="F80" s="36"/>
      <c r="G80" s="13">
        <f t="shared" ref="G80:N80" si="65">SUM(G74:G79)</f>
        <v>153.90166666666667</v>
      </c>
      <c r="H80" s="13">
        <f t="shared" si="65"/>
        <v>153.90166666666667</v>
      </c>
      <c r="I80" s="13">
        <f t="shared" si="65"/>
        <v>208.83496764346765</v>
      </c>
      <c r="J80" s="13">
        <f t="shared" si="65"/>
        <v>216.89211050061053</v>
      </c>
      <c r="K80" s="13">
        <f>SUM(K75:K79)</f>
        <v>215.71740811965816</v>
      </c>
      <c r="L80" s="13">
        <f>SUM(L75:L79)</f>
        <v>215.71740811965816</v>
      </c>
      <c r="M80" s="13">
        <f t="shared" si="65"/>
        <v>200.78799635495227</v>
      </c>
      <c r="N80" s="13">
        <f t="shared" si="65"/>
        <v>210.3016666666667</v>
      </c>
      <c r="P80" s="206">
        <v>7</v>
      </c>
      <c r="Q80" s="207"/>
      <c r="R80" s="203" t="s">
        <v>122</v>
      </c>
      <c r="S80" s="203" t="s">
        <v>114</v>
      </c>
      <c r="T80" s="203" t="s">
        <v>116</v>
      </c>
      <c r="U80" s="200" t="s">
        <v>125</v>
      </c>
      <c r="V80" s="200">
        <v>1</v>
      </c>
      <c r="W80" s="200">
        <v>34</v>
      </c>
      <c r="X80" s="51">
        <v>34</v>
      </c>
      <c r="Y80" s="130">
        <v>9</v>
      </c>
      <c r="Z80" s="130">
        <v>25</v>
      </c>
      <c r="AA80" s="218">
        <f>Y80+Z80</f>
        <v>34</v>
      </c>
      <c r="AB80" s="215">
        <f t="shared" ref="AB80" si="66">(Y82+Z82)/AA80</f>
        <v>195.37225490196082</v>
      </c>
    </row>
    <row r="81" spans="1:28" ht="15" customHeight="1" x14ac:dyDescent="0.25">
      <c r="A81" s="53" t="s">
        <v>675</v>
      </c>
      <c r="B81" s="21"/>
      <c r="C81" s="21"/>
      <c r="D81" s="21"/>
      <c r="E81" s="21"/>
      <c r="F81" s="35"/>
      <c r="G81" s="18"/>
      <c r="H81" s="18"/>
      <c r="I81" s="18"/>
      <c r="J81" s="18"/>
      <c r="K81" s="18"/>
      <c r="L81" s="18"/>
      <c r="M81" s="18"/>
      <c r="N81" s="18"/>
      <c r="P81" s="208"/>
      <c r="Q81" s="209"/>
      <c r="R81" s="204"/>
      <c r="S81" s="204"/>
      <c r="T81" s="204"/>
      <c r="U81" s="201"/>
      <c r="V81" s="201"/>
      <c r="W81" s="201"/>
      <c r="X81" s="51" t="s">
        <v>684</v>
      </c>
      <c r="Y81" s="139">
        <f>'Uniformes e Materiais'!$O$13</f>
        <v>153.90166666666667</v>
      </c>
      <c r="Z81" s="139">
        <f>'Uniformes e Materiais'!$O$24</f>
        <v>210.3016666666667</v>
      </c>
      <c r="AA81" s="216"/>
      <c r="AB81" s="216"/>
    </row>
    <row r="82" spans="1:28" x14ac:dyDescent="0.25">
      <c r="A82" s="53" t="s">
        <v>700</v>
      </c>
      <c r="B82" s="87"/>
      <c r="C82" s="87"/>
      <c r="D82" s="87"/>
      <c r="E82" s="87"/>
      <c r="F82" s="87"/>
      <c r="G82" s="87"/>
      <c r="H82" s="87"/>
      <c r="I82" s="40"/>
      <c r="J82" s="40"/>
      <c r="K82" s="40"/>
      <c r="L82" s="40"/>
      <c r="M82" s="40"/>
      <c r="N82" s="87"/>
      <c r="P82" s="210"/>
      <c r="Q82" s="211"/>
      <c r="R82" s="205"/>
      <c r="S82" s="205"/>
      <c r="T82" s="205"/>
      <c r="U82" s="202"/>
      <c r="V82" s="202"/>
      <c r="W82" s="202"/>
      <c r="X82" s="51" t="s">
        <v>685</v>
      </c>
      <c r="Y82" s="139">
        <f>Y80*Y81</f>
        <v>1385.115</v>
      </c>
      <c r="Z82" s="139">
        <f>Z80*Z81</f>
        <v>5257.5416666666679</v>
      </c>
      <c r="AA82" s="217"/>
      <c r="AB82" s="217"/>
    </row>
    <row r="83" spans="1:28" ht="15" customHeight="1" x14ac:dyDescent="0.25">
      <c r="A83" s="148" t="s">
        <v>59</v>
      </c>
      <c r="B83" s="148"/>
      <c r="C83" s="148"/>
      <c r="D83" s="148"/>
      <c r="E83" s="148"/>
      <c r="F83" s="148"/>
      <c r="G83" s="148"/>
      <c r="H83" s="148"/>
      <c r="I83" s="148"/>
      <c r="J83" s="148"/>
      <c r="K83" s="148"/>
      <c r="L83" s="148"/>
      <c r="M83" s="148"/>
      <c r="N83" s="148"/>
      <c r="P83" s="206">
        <v>8</v>
      </c>
      <c r="Q83" s="207"/>
      <c r="R83" s="203" t="s">
        <v>123</v>
      </c>
      <c r="S83" s="203" t="s">
        <v>114</v>
      </c>
      <c r="T83" s="203" t="s">
        <v>116</v>
      </c>
      <c r="U83" s="142" t="s">
        <v>124</v>
      </c>
      <c r="V83" s="142">
        <v>2</v>
      </c>
      <c r="W83" s="200">
        <v>3</v>
      </c>
      <c r="X83" s="51">
        <v>6</v>
      </c>
      <c r="Y83" s="130"/>
      <c r="Z83" s="130">
        <v>6</v>
      </c>
      <c r="AA83" s="218">
        <f>Y83+Z83</f>
        <v>6</v>
      </c>
      <c r="AB83" s="215">
        <f t="shared" ref="AB83" si="67">(Y85+Z85)/AA83</f>
        <v>210.3016666666667</v>
      </c>
    </row>
    <row r="84" spans="1:28" ht="15.75" customHeight="1" x14ac:dyDescent="0.25">
      <c r="A84" s="15">
        <v>6</v>
      </c>
      <c r="B84" s="172" t="s">
        <v>60</v>
      </c>
      <c r="C84" s="173"/>
      <c r="D84" s="173"/>
      <c r="E84" s="174"/>
      <c r="F84" s="4" t="s">
        <v>126</v>
      </c>
      <c r="G84" s="7" t="s">
        <v>3</v>
      </c>
      <c r="H84" s="7" t="s">
        <v>3</v>
      </c>
      <c r="I84" s="7" t="s">
        <v>3</v>
      </c>
      <c r="J84" s="7" t="s">
        <v>3</v>
      </c>
      <c r="K84" s="7" t="s">
        <v>3</v>
      </c>
      <c r="L84" s="7" t="s">
        <v>3</v>
      </c>
      <c r="M84" s="7" t="s">
        <v>3</v>
      </c>
      <c r="N84" s="7" t="s">
        <v>3</v>
      </c>
      <c r="P84" s="208"/>
      <c r="Q84" s="209"/>
      <c r="R84" s="204"/>
      <c r="S84" s="204"/>
      <c r="T84" s="204"/>
      <c r="U84" s="142"/>
      <c r="V84" s="142"/>
      <c r="W84" s="201"/>
      <c r="X84" s="51" t="s">
        <v>684</v>
      </c>
      <c r="Y84" s="139">
        <f>'Uniformes e Materiais'!$O$13</f>
        <v>153.90166666666667</v>
      </c>
      <c r="Z84" s="139">
        <f>'Uniformes e Materiais'!$O$24</f>
        <v>210.3016666666667</v>
      </c>
      <c r="AA84" s="216"/>
      <c r="AB84" s="216"/>
    </row>
    <row r="85" spans="1:28" ht="15" customHeight="1" x14ac:dyDescent="0.25">
      <c r="A85" s="79" t="s">
        <v>4</v>
      </c>
      <c r="B85" s="155" t="s">
        <v>61</v>
      </c>
      <c r="C85" s="156"/>
      <c r="D85" s="156"/>
      <c r="E85" s="157"/>
      <c r="F85" s="81">
        <v>0.03</v>
      </c>
      <c r="G85" s="80">
        <f t="shared" ref="G85:N85" si="68">G106*$F$85</f>
        <v>260.24206050000004</v>
      </c>
      <c r="H85" s="80">
        <f t="shared" si="68"/>
        <v>269.93146050000001</v>
      </c>
      <c r="I85" s="80">
        <f t="shared" si="68"/>
        <v>223.19155230430403</v>
      </c>
      <c r="J85" s="80">
        <f t="shared" si="68"/>
        <v>244.59685422001829</v>
      </c>
      <c r="K85" s="80">
        <f t="shared" si="68"/>
        <v>223.39802551858975</v>
      </c>
      <c r="L85" s="80">
        <f t="shared" si="68"/>
        <v>244.56161314858971</v>
      </c>
      <c r="M85" s="80">
        <f t="shared" si="68"/>
        <v>233.66629916564858</v>
      </c>
      <c r="N85" s="80">
        <f t="shared" si="68"/>
        <v>223.235553275</v>
      </c>
      <c r="P85" s="210"/>
      <c r="Q85" s="211"/>
      <c r="R85" s="205"/>
      <c r="S85" s="205"/>
      <c r="T85" s="205"/>
      <c r="U85" s="142"/>
      <c r="V85" s="142"/>
      <c r="W85" s="202"/>
      <c r="X85" s="51" t="s">
        <v>685</v>
      </c>
      <c r="Y85" s="139"/>
      <c r="Z85" s="139">
        <f>Z83*Z84</f>
        <v>1261.8100000000002</v>
      </c>
      <c r="AA85" s="217"/>
      <c r="AB85" s="217"/>
    </row>
    <row r="86" spans="1:28" ht="15" customHeight="1" x14ac:dyDescent="0.25">
      <c r="A86" s="79" t="s">
        <v>6</v>
      </c>
      <c r="B86" s="155" t="s">
        <v>62</v>
      </c>
      <c r="C86" s="156"/>
      <c r="D86" s="156"/>
      <c r="E86" s="157"/>
      <c r="F86" s="81">
        <v>0.03</v>
      </c>
      <c r="G86" s="80">
        <f t="shared" ref="G86:N86" si="69">$F$86*(G106+G85)</f>
        <v>268.04932231500004</v>
      </c>
      <c r="H86" s="80">
        <f t="shared" si="69"/>
        <v>278.02940431500002</v>
      </c>
      <c r="I86" s="80">
        <f t="shared" si="69"/>
        <v>229.88729887343317</v>
      </c>
      <c r="J86" s="80">
        <f t="shared" si="69"/>
        <v>251.93475984661882</v>
      </c>
      <c r="K86" s="80">
        <f t="shared" si="69"/>
        <v>230.09996628414743</v>
      </c>
      <c r="L86" s="80">
        <f t="shared" si="69"/>
        <v>251.8984615430474</v>
      </c>
      <c r="M86" s="80">
        <f t="shared" si="69"/>
        <v>240.67628814061803</v>
      </c>
      <c r="N86" s="80">
        <f t="shared" si="69"/>
        <v>229.93261987324999</v>
      </c>
      <c r="P86" s="49"/>
      <c r="Q86" s="49"/>
      <c r="R86" s="49"/>
      <c r="S86" s="49"/>
      <c r="T86" s="49"/>
      <c r="U86" s="49"/>
      <c r="V86" s="49"/>
      <c r="W86" s="137">
        <f>SUM(W62:W85)</f>
        <v>61</v>
      </c>
      <c r="X86" s="137">
        <f>SUM(X62:X85)</f>
        <v>87</v>
      </c>
      <c r="Y86" s="140">
        <f>Y64+Y67+Y70+Y73+Y76+Y79+Y82+Y85</f>
        <v>2770.23</v>
      </c>
      <c r="Z86" s="140">
        <f>Z64+Z67+Z70+Z73+Z76+Z79+Z82+Z85</f>
        <v>14510.815000000002</v>
      </c>
      <c r="AA86" s="138">
        <f>SUM(AA62:AA85)</f>
        <v>87</v>
      </c>
      <c r="AB86" s="49"/>
    </row>
    <row r="87" spans="1:28" x14ac:dyDescent="0.25">
      <c r="A87" s="79"/>
      <c r="B87" s="160" t="s">
        <v>63</v>
      </c>
      <c r="C87" s="161"/>
      <c r="D87" s="161"/>
      <c r="E87" s="162"/>
      <c r="F87" s="29">
        <f t="shared" ref="F87:L87" si="70">SUM(F85:F86)</f>
        <v>0.06</v>
      </c>
      <c r="G87" s="1">
        <f t="shared" si="70"/>
        <v>528.29138281500013</v>
      </c>
      <c r="H87" s="1">
        <f t="shared" si="70"/>
        <v>547.96086481500004</v>
      </c>
      <c r="I87" s="1">
        <f t="shared" si="70"/>
        <v>453.07885117773719</v>
      </c>
      <c r="J87" s="1">
        <f t="shared" si="70"/>
        <v>496.53161406663708</v>
      </c>
      <c r="K87" s="1">
        <f t="shared" si="70"/>
        <v>453.49799180273715</v>
      </c>
      <c r="L87" s="1">
        <f t="shared" si="70"/>
        <v>496.46007469163715</v>
      </c>
      <c r="M87" s="1">
        <f t="shared" ref="M87:N87" si="71">SUM(M85:M86)</f>
        <v>474.34258730626664</v>
      </c>
      <c r="N87" s="1">
        <f t="shared" si="71"/>
        <v>453.16817314824999</v>
      </c>
      <c r="P87" s="46"/>
      <c r="Q87" s="46"/>
      <c r="R87" s="46"/>
      <c r="S87" s="46"/>
      <c r="T87" s="46"/>
      <c r="U87" s="46"/>
      <c r="V87" s="46"/>
      <c r="W87" s="46"/>
      <c r="X87" s="46"/>
      <c r="Y87" s="198">
        <f>SUM(Y86+Z86)</f>
        <v>17281.045000000002</v>
      </c>
      <c r="Z87" s="199"/>
      <c r="AA87" s="46"/>
      <c r="AB87" s="46"/>
    </row>
    <row r="88" spans="1:28" x14ac:dyDescent="0.25">
      <c r="A88" s="79" t="s">
        <v>18</v>
      </c>
      <c r="B88" s="149" t="s">
        <v>64</v>
      </c>
      <c r="C88" s="150"/>
      <c r="D88" s="150"/>
      <c r="E88" s="151"/>
      <c r="F88" s="81"/>
      <c r="G88" s="80"/>
      <c r="H88" s="80"/>
      <c r="I88" s="80"/>
      <c r="J88" s="80"/>
      <c r="K88" s="80"/>
      <c r="L88" s="80"/>
      <c r="M88" s="80"/>
      <c r="N88" s="80"/>
    </row>
    <row r="89" spans="1:28" x14ac:dyDescent="0.25">
      <c r="A89" s="79" t="s">
        <v>65</v>
      </c>
      <c r="B89" s="149" t="s">
        <v>66</v>
      </c>
      <c r="C89" s="150"/>
      <c r="D89" s="150"/>
      <c r="E89" s="151"/>
      <c r="F89" s="81"/>
      <c r="G89" s="80"/>
      <c r="H89" s="80"/>
      <c r="I89" s="80"/>
      <c r="J89" s="80"/>
      <c r="K89" s="80"/>
      <c r="L89" s="80"/>
      <c r="M89" s="80"/>
      <c r="N89" s="80"/>
    </row>
    <row r="90" spans="1:28" ht="15" customHeight="1" x14ac:dyDescent="0.25">
      <c r="A90" s="79"/>
      <c r="B90" s="149" t="s">
        <v>67</v>
      </c>
      <c r="C90" s="150"/>
      <c r="D90" s="150"/>
      <c r="E90" s="151"/>
      <c r="F90" s="81">
        <v>0.03</v>
      </c>
      <c r="G90" s="80">
        <f t="shared" ref="G90:N90" si="72">((G87+G106)/(1-($F$90+$F$91+$F$93)))*($F$90)</f>
        <v>302.23404705467976</v>
      </c>
      <c r="H90" s="80">
        <f t="shared" si="72"/>
        <v>313.48690360640398</v>
      </c>
      <c r="I90" s="80">
        <f t="shared" si="72"/>
        <v>259.20516457540901</v>
      </c>
      <c r="J90" s="80">
        <f t="shared" si="72"/>
        <v>284.06437070828395</v>
      </c>
      <c r="K90" s="80">
        <f t="shared" si="72"/>
        <v>259.44495377413449</v>
      </c>
      <c r="L90" s="80">
        <f t="shared" si="72"/>
        <v>284.02344322861393</v>
      </c>
      <c r="M90" s="80">
        <f t="shared" si="72"/>
        <v>271.37008952910412</v>
      </c>
      <c r="N90" s="80">
        <f t="shared" si="72"/>
        <v>259.25626542906133</v>
      </c>
    </row>
    <row r="91" spans="1:28" x14ac:dyDescent="0.25">
      <c r="A91" s="79"/>
      <c r="B91" s="149" t="s">
        <v>68</v>
      </c>
      <c r="C91" s="150"/>
      <c r="D91" s="150"/>
      <c r="E91" s="151"/>
      <c r="F91" s="81">
        <v>6.4999999999999997E-3</v>
      </c>
      <c r="G91" s="80">
        <f t="shared" ref="G91:N91" si="73">((G87+G106)/(1-($F$90+$F$91+$F$93)))*($F$91)</f>
        <v>65.484043528513951</v>
      </c>
      <c r="H91" s="80">
        <f t="shared" si="73"/>
        <v>67.922162448054195</v>
      </c>
      <c r="I91" s="80">
        <f t="shared" si="73"/>
        <v>56.161118991338618</v>
      </c>
      <c r="J91" s="80">
        <f t="shared" si="73"/>
        <v>61.547280320128188</v>
      </c>
      <c r="K91" s="80">
        <f t="shared" si="73"/>
        <v>56.21307331772914</v>
      </c>
      <c r="L91" s="80">
        <f t="shared" si="73"/>
        <v>61.538412699533019</v>
      </c>
      <c r="M91" s="80">
        <f t="shared" si="73"/>
        <v>58.79685273130589</v>
      </c>
      <c r="N91" s="80">
        <f t="shared" si="73"/>
        <v>56.172190842963289</v>
      </c>
    </row>
    <row r="92" spans="1:28" x14ac:dyDescent="0.25">
      <c r="A92" s="79" t="s">
        <v>69</v>
      </c>
      <c r="B92" s="149" t="s">
        <v>70</v>
      </c>
      <c r="C92" s="150"/>
      <c r="D92" s="150"/>
      <c r="E92" s="151"/>
      <c r="F92" s="81"/>
      <c r="G92" s="80"/>
      <c r="H92" s="80"/>
      <c r="I92" s="80"/>
      <c r="J92" s="80"/>
      <c r="K92" s="80"/>
      <c r="L92" s="80"/>
      <c r="M92" s="80"/>
      <c r="N92" s="80"/>
    </row>
    <row r="93" spans="1:28" x14ac:dyDescent="0.25">
      <c r="A93" s="79"/>
      <c r="B93" s="149" t="s">
        <v>71</v>
      </c>
      <c r="C93" s="150"/>
      <c r="D93" s="150"/>
      <c r="E93" s="151"/>
      <c r="F93" s="81">
        <v>0.05</v>
      </c>
      <c r="G93" s="80">
        <f>((G87+G106)/(1-($F$90+$F$91+$F$93)))*($F$93)</f>
        <v>503.72341175779968</v>
      </c>
      <c r="H93" s="80">
        <f t="shared" ref="H93" si="74">((H87+H106)/(1-($F$90+$F$91+$F$93)))*($F$93)</f>
        <v>522.47817267734001</v>
      </c>
      <c r="I93" s="80">
        <f t="shared" ref="I93:J93" si="75">((I87+I106)/(1-($F$90+$F$91+$F$93)))*($F$93)</f>
        <v>432.00860762568175</v>
      </c>
      <c r="J93" s="80">
        <f t="shared" si="75"/>
        <v>473.44061784713995</v>
      </c>
      <c r="K93" s="80">
        <f>((K87+K106)/(1-($F$90+$F$91+$F$93)))*($F$93)</f>
        <v>432.40825629022424</v>
      </c>
      <c r="L93" s="80">
        <f>((L87+L106)/(1-($F$90+$F$91+$F$93)))*($F$93)</f>
        <v>473.37240538102327</v>
      </c>
      <c r="M93" s="80">
        <f>((M87+M106)/(1-($F$90+$F$91+$F$93)))*($F$93)</f>
        <v>452.28348254850692</v>
      </c>
      <c r="N93" s="80">
        <f>((N87+N106)/(1-($F$90+$F$91+$F$93)))*($F$93)</f>
        <v>432.09377571510225</v>
      </c>
    </row>
    <row r="94" spans="1:28" x14ac:dyDescent="0.25">
      <c r="A94" s="79" t="s">
        <v>72</v>
      </c>
      <c r="B94" s="149" t="s">
        <v>73</v>
      </c>
      <c r="C94" s="150"/>
      <c r="D94" s="150"/>
      <c r="E94" s="151"/>
      <c r="F94" s="81"/>
      <c r="G94" s="80"/>
      <c r="H94" s="80"/>
      <c r="I94" s="80"/>
      <c r="J94" s="80"/>
      <c r="K94" s="80"/>
      <c r="L94" s="80"/>
      <c r="M94" s="80"/>
      <c r="N94" s="80"/>
    </row>
    <row r="95" spans="1:28" x14ac:dyDescent="0.25">
      <c r="A95" s="79" t="s">
        <v>74</v>
      </c>
      <c r="B95" s="149" t="s">
        <v>75</v>
      </c>
      <c r="C95" s="150"/>
      <c r="D95" s="150"/>
      <c r="E95" s="151"/>
      <c r="F95" s="81"/>
      <c r="G95" s="80"/>
      <c r="H95" s="80"/>
      <c r="I95" s="80"/>
      <c r="J95" s="80"/>
      <c r="K95" s="80"/>
      <c r="L95" s="80"/>
      <c r="M95" s="80"/>
      <c r="N95" s="80"/>
    </row>
    <row r="96" spans="1:28" x14ac:dyDescent="0.25">
      <c r="A96" s="90"/>
      <c r="B96" s="152" t="s">
        <v>76</v>
      </c>
      <c r="C96" s="153"/>
      <c r="D96" s="153"/>
      <c r="E96" s="154"/>
      <c r="F96" s="37">
        <f t="shared" ref="F96:L96" si="76">F90+F91+F93+F95</f>
        <v>8.6499999999999994E-2</v>
      </c>
      <c r="G96" s="20">
        <f t="shared" si="76"/>
        <v>871.44150234099334</v>
      </c>
      <c r="H96" s="20">
        <f t="shared" si="76"/>
        <v>903.88723873179822</v>
      </c>
      <c r="I96" s="20">
        <f t="shared" si="76"/>
        <v>747.37489119242946</v>
      </c>
      <c r="J96" s="20">
        <f t="shared" si="76"/>
        <v>819.05226887555204</v>
      </c>
      <c r="K96" s="20">
        <f t="shared" si="76"/>
        <v>748.06628338208793</v>
      </c>
      <c r="L96" s="20">
        <f t="shared" si="76"/>
        <v>818.93426130917021</v>
      </c>
      <c r="M96" s="20">
        <f t="shared" ref="M96:N96" si="77">M90+M91+M93+M95</f>
        <v>782.45042480891698</v>
      </c>
      <c r="N96" s="20">
        <f t="shared" si="77"/>
        <v>747.52223198712682</v>
      </c>
    </row>
    <row r="97" spans="1:14" x14ac:dyDescent="0.25">
      <c r="A97" s="158" t="s">
        <v>100</v>
      </c>
      <c r="B97" s="158"/>
      <c r="C97" s="158"/>
      <c r="D97" s="158"/>
      <c r="E97" s="158"/>
      <c r="F97" s="52">
        <f>SUM(F96,F87)</f>
        <v>0.14649999999999999</v>
      </c>
      <c r="G97" s="12">
        <f t="shared" ref="G97:H97" si="78">G87+G96</f>
        <v>1399.7328851559935</v>
      </c>
      <c r="H97" s="12">
        <f t="shared" si="78"/>
        <v>1451.8481035467983</v>
      </c>
      <c r="I97" s="12">
        <f>I87+I96</f>
        <v>1200.4537423701668</v>
      </c>
      <c r="J97" s="12">
        <f t="shared" ref="J97:L97" si="79">J87+J96</f>
        <v>1315.5838829421891</v>
      </c>
      <c r="K97" s="12">
        <f t="shared" si="79"/>
        <v>1201.564275184825</v>
      </c>
      <c r="L97" s="12">
        <f t="shared" si="79"/>
        <v>1315.3943360008075</v>
      </c>
      <c r="M97" s="12">
        <f t="shared" ref="M97:N97" si="80">M87+M96</f>
        <v>1256.7930121151835</v>
      </c>
      <c r="N97" s="12">
        <f t="shared" si="80"/>
        <v>1200.6904051353767</v>
      </c>
    </row>
    <row r="98" spans="1:14" x14ac:dyDescent="0.25">
      <c r="A98" s="109"/>
      <c r="B98" s="109"/>
      <c r="C98" s="110"/>
      <c r="D98" s="110"/>
      <c r="E98" s="110"/>
      <c r="F98" s="38"/>
      <c r="G98" s="19"/>
      <c r="H98" s="19"/>
      <c r="I98" s="19"/>
      <c r="J98" s="19"/>
      <c r="K98" s="19"/>
      <c r="L98" s="19"/>
      <c r="M98" s="19"/>
      <c r="N98" s="19"/>
    </row>
    <row r="99" spans="1:14" x14ac:dyDescent="0.25">
      <c r="A99" s="148" t="s">
        <v>86</v>
      </c>
      <c r="B99" s="148"/>
      <c r="C99" s="148"/>
      <c r="D99" s="148"/>
      <c r="E99" s="148"/>
      <c r="F99" s="148"/>
      <c r="G99" s="148"/>
      <c r="H99" s="148"/>
      <c r="I99" s="148"/>
      <c r="J99" s="148"/>
      <c r="K99" s="148"/>
      <c r="L99" s="148"/>
      <c r="M99" s="148"/>
      <c r="N99" s="148"/>
    </row>
    <row r="100" spans="1:14" ht="51" customHeight="1" x14ac:dyDescent="0.25">
      <c r="A100" s="4"/>
      <c r="B100" s="159" t="s">
        <v>77</v>
      </c>
      <c r="C100" s="159"/>
      <c r="D100" s="159"/>
      <c r="E100" s="159"/>
      <c r="F100" s="159"/>
      <c r="G100" s="42" t="s">
        <v>118</v>
      </c>
      <c r="H100" s="42" t="s">
        <v>119</v>
      </c>
      <c r="I100" s="43" t="s">
        <v>106</v>
      </c>
      <c r="J100" s="42" t="s">
        <v>107</v>
      </c>
      <c r="K100" s="42" t="s">
        <v>108</v>
      </c>
      <c r="L100" s="44" t="s">
        <v>109</v>
      </c>
      <c r="M100" s="42" t="s">
        <v>110</v>
      </c>
      <c r="N100" s="42" t="s">
        <v>111</v>
      </c>
    </row>
    <row r="101" spans="1:14" ht="22.5" customHeight="1" x14ac:dyDescent="0.25">
      <c r="A101" s="79" t="s">
        <v>4</v>
      </c>
      <c r="B101" s="181" t="s">
        <v>78</v>
      </c>
      <c r="C101" s="181"/>
      <c r="D101" s="181"/>
      <c r="E101" s="181"/>
      <c r="F101" s="181"/>
      <c r="G101" s="80">
        <f t="shared" ref="G101:N101" si="81">G10</f>
        <v>4459</v>
      </c>
      <c r="H101" s="80">
        <f t="shared" si="81"/>
        <v>4459</v>
      </c>
      <c r="I101" s="80">
        <f t="shared" si="81"/>
        <v>3717.45</v>
      </c>
      <c r="J101" s="80">
        <f t="shared" si="81"/>
        <v>4122.99</v>
      </c>
      <c r="K101" s="80">
        <f t="shared" si="81"/>
        <v>3717.45</v>
      </c>
      <c r="L101" s="80">
        <f t="shared" si="81"/>
        <v>4122.99</v>
      </c>
      <c r="M101" s="80">
        <f t="shared" si="81"/>
        <v>3717.45</v>
      </c>
      <c r="N101" s="80">
        <f t="shared" si="81"/>
        <v>3717.45</v>
      </c>
    </row>
    <row r="102" spans="1:14" ht="22.5" customHeight="1" x14ac:dyDescent="0.25">
      <c r="A102" s="79" t="s">
        <v>6</v>
      </c>
      <c r="B102" s="181" t="s">
        <v>79</v>
      </c>
      <c r="C102" s="181"/>
      <c r="D102" s="181"/>
      <c r="E102" s="181"/>
      <c r="F102" s="181"/>
      <c r="G102" s="80">
        <f t="shared" ref="G102:N102" si="82">G39</f>
        <v>3651.68</v>
      </c>
      <c r="H102" s="80">
        <f t="shared" si="82"/>
        <v>3974.66</v>
      </c>
      <c r="I102" s="80">
        <f t="shared" si="82"/>
        <v>3171.4900000000002</v>
      </c>
      <c r="J102" s="80">
        <f t="shared" si="82"/>
        <v>3434.1</v>
      </c>
      <c r="K102" s="80">
        <f t="shared" si="82"/>
        <v>3171.4900000000002</v>
      </c>
      <c r="L102" s="80">
        <f t="shared" si="82"/>
        <v>3434.1</v>
      </c>
      <c r="M102" s="80">
        <f t="shared" si="82"/>
        <v>3528.6952000000006</v>
      </c>
      <c r="N102" s="80">
        <f t="shared" si="82"/>
        <v>3171.4900000000002</v>
      </c>
    </row>
    <row r="103" spans="1:14" ht="22.5" customHeight="1" x14ac:dyDescent="0.25">
      <c r="A103" s="79" t="s">
        <v>18</v>
      </c>
      <c r="B103" s="181" t="s">
        <v>80</v>
      </c>
      <c r="C103" s="181"/>
      <c r="D103" s="181"/>
      <c r="E103" s="181"/>
      <c r="F103" s="181"/>
      <c r="G103" s="80">
        <f t="shared" ref="G103:N103" si="83">G49</f>
        <v>318.74418333333335</v>
      </c>
      <c r="H103" s="80">
        <f t="shared" si="83"/>
        <v>318.74418333333335</v>
      </c>
      <c r="I103" s="80">
        <f t="shared" si="83"/>
        <v>265.73571750000002</v>
      </c>
      <c r="J103" s="80">
        <f t="shared" si="83"/>
        <v>294.72506850000002</v>
      </c>
      <c r="K103" s="80">
        <f t="shared" si="83"/>
        <v>265.73571750000002</v>
      </c>
      <c r="L103" s="80">
        <f t="shared" si="83"/>
        <v>294.72506850000002</v>
      </c>
      <c r="M103" s="80">
        <f t="shared" si="83"/>
        <v>265.73571750000002</v>
      </c>
      <c r="N103" s="80">
        <f t="shared" si="83"/>
        <v>265.73571750000002</v>
      </c>
    </row>
    <row r="104" spans="1:14" ht="22.5" customHeight="1" x14ac:dyDescent="0.25">
      <c r="A104" s="79" t="s">
        <v>13</v>
      </c>
      <c r="B104" s="181" t="s">
        <v>81</v>
      </c>
      <c r="C104" s="181"/>
      <c r="D104" s="181"/>
      <c r="E104" s="181"/>
      <c r="F104" s="181"/>
      <c r="G104" s="80">
        <f t="shared" ref="G104:N104" si="84">G70</f>
        <v>91.409499999999994</v>
      </c>
      <c r="H104" s="80">
        <f t="shared" si="84"/>
        <v>91.409499999999994</v>
      </c>
      <c r="I104" s="80">
        <f t="shared" si="84"/>
        <v>76.207724999999996</v>
      </c>
      <c r="J104" s="80">
        <f t="shared" si="84"/>
        <v>84.521294999999995</v>
      </c>
      <c r="K104" s="80">
        <f t="shared" si="84"/>
        <v>76.207724999999996</v>
      </c>
      <c r="L104" s="80">
        <f t="shared" si="84"/>
        <v>84.521294999999995</v>
      </c>
      <c r="M104" s="80">
        <f t="shared" si="84"/>
        <v>76.207724999999996</v>
      </c>
      <c r="N104" s="80">
        <f t="shared" si="84"/>
        <v>76.207724999999996</v>
      </c>
    </row>
    <row r="105" spans="1:14" ht="22.5" customHeight="1" x14ac:dyDescent="0.25">
      <c r="A105" s="79" t="s">
        <v>21</v>
      </c>
      <c r="B105" s="181" t="s">
        <v>82</v>
      </c>
      <c r="C105" s="181"/>
      <c r="D105" s="181"/>
      <c r="E105" s="181"/>
      <c r="F105" s="181"/>
      <c r="G105" s="80">
        <f t="shared" ref="G105:N105" si="85">G80</f>
        <v>153.90166666666667</v>
      </c>
      <c r="H105" s="80">
        <f t="shared" si="85"/>
        <v>153.90166666666667</v>
      </c>
      <c r="I105" s="80">
        <f t="shared" si="85"/>
        <v>208.83496764346765</v>
      </c>
      <c r="J105" s="80">
        <f t="shared" si="85"/>
        <v>216.89211050061053</v>
      </c>
      <c r="K105" s="80">
        <f t="shared" si="85"/>
        <v>215.71740811965816</v>
      </c>
      <c r="L105" s="80">
        <f t="shared" si="85"/>
        <v>215.71740811965816</v>
      </c>
      <c r="M105" s="80">
        <f t="shared" si="85"/>
        <v>200.78799635495227</v>
      </c>
      <c r="N105" s="80">
        <f t="shared" si="85"/>
        <v>210.3016666666667</v>
      </c>
    </row>
    <row r="106" spans="1:14" ht="22.5" customHeight="1" x14ac:dyDescent="0.25">
      <c r="A106" s="79"/>
      <c r="B106" s="182" t="s">
        <v>3</v>
      </c>
      <c r="C106" s="182"/>
      <c r="D106" s="182"/>
      <c r="E106" s="182"/>
      <c r="F106" s="182"/>
      <c r="G106" s="1">
        <f>SUM(G101:G105)</f>
        <v>8674.7353500000008</v>
      </c>
      <c r="H106" s="1">
        <f t="shared" ref="H106:N106" si="86">SUM(H101:H105)</f>
        <v>8997.7153500000004</v>
      </c>
      <c r="I106" s="1">
        <f t="shared" si="86"/>
        <v>7439.7184101434677</v>
      </c>
      <c r="J106" s="1">
        <f t="shared" si="86"/>
        <v>8153.2284740006098</v>
      </c>
      <c r="K106" s="1">
        <f t="shared" si="86"/>
        <v>7446.6008506196586</v>
      </c>
      <c r="L106" s="1">
        <f t="shared" si="86"/>
        <v>8152.0537716196577</v>
      </c>
      <c r="M106" s="1">
        <f t="shared" si="86"/>
        <v>7788.8766388549529</v>
      </c>
      <c r="N106" s="1">
        <f t="shared" si="86"/>
        <v>7441.1851091666667</v>
      </c>
    </row>
    <row r="107" spans="1:14" ht="22.5" customHeight="1" x14ac:dyDescent="0.25">
      <c r="A107" s="79" t="s">
        <v>23</v>
      </c>
      <c r="B107" s="181" t="s">
        <v>83</v>
      </c>
      <c r="C107" s="181"/>
      <c r="D107" s="181"/>
      <c r="E107" s="181"/>
      <c r="F107" s="181"/>
      <c r="G107" s="80">
        <f>G97</f>
        <v>1399.7328851559935</v>
      </c>
      <c r="H107" s="80">
        <f t="shared" ref="H107:N107" si="87">H97</f>
        <v>1451.8481035467983</v>
      </c>
      <c r="I107" s="80">
        <f t="shared" si="87"/>
        <v>1200.4537423701668</v>
      </c>
      <c r="J107" s="80">
        <f t="shared" si="87"/>
        <v>1315.5838829421891</v>
      </c>
      <c r="K107" s="80">
        <f t="shared" si="87"/>
        <v>1201.564275184825</v>
      </c>
      <c r="L107" s="80">
        <f t="shared" si="87"/>
        <v>1315.3943360008075</v>
      </c>
      <c r="M107" s="80">
        <f t="shared" si="87"/>
        <v>1256.7930121151835</v>
      </c>
      <c r="N107" s="80">
        <f t="shared" si="87"/>
        <v>1200.6904051353767</v>
      </c>
    </row>
    <row r="108" spans="1:14" ht="22.5" customHeight="1" x14ac:dyDescent="0.25">
      <c r="A108" s="158" t="s">
        <v>101</v>
      </c>
      <c r="B108" s="158"/>
      <c r="C108" s="158"/>
      <c r="D108" s="158"/>
      <c r="E108" s="158"/>
      <c r="F108" s="158"/>
      <c r="G108" s="6">
        <f t="shared" ref="G108:N108" si="88">ROUND((G106+G87)/(1-$F$96),2)</f>
        <v>10074.469999999999</v>
      </c>
      <c r="H108" s="6">
        <f t="shared" si="88"/>
        <v>10449.56</v>
      </c>
      <c r="I108" s="6">
        <f t="shared" si="88"/>
        <v>8640.17</v>
      </c>
      <c r="J108" s="6">
        <f t="shared" si="88"/>
        <v>9468.81</v>
      </c>
      <c r="K108" s="6">
        <f t="shared" si="88"/>
        <v>8648.17</v>
      </c>
      <c r="L108" s="6">
        <f t="shared" si="88"/>
        <v>9467.4500000000007</v>
      </c>
      <c r="M108" s="6">
        <f t="shared" si="88"/>
        <v>9045.67</v>
      </c>
      <c r="N108" s="6">
        <f t="shared" si="88"/>
        <v>8641.8799999999992</v>
      </c>
    </row>
    <row r="109" spans="1:14" x14ac:dyDescent="0.25">
      <c r="A109" s="86"/>
      <c r="B109" s="87"/>
      <c r="C109" s="87"/>
      <c r="D109" s="87"/>
      <c r="E109" s="87"/>
      <c r="F109" s="87"/>
      <c r="G109" s="41"/>
      <c r="H109" s="40"/>
      <c r="I109" s="40"/>
      <c r="J109" s="40"/>
      <c r="K109" s="40"/>
      <c r="L109" s="41"/>
      <c r="M109" s="40"/>
      <c r="N109" s="40"/>
    </row>
    <row r="110" spans="1:14" x14ac:dyDescent="0.25">
      <c r="A110" s="86"/>
      <c r="B110" s="87"/>
      <c r="C110" s="87"/>
      <c r="D110" s="87"/>
      <c r="E110" s="87"/>
      <c r="F110" s="87"/>
      <c r="G110" s="78"/>
      <c r="H110" s="87"/>
      <c r="I110" s="87"/>
      <c r="J110" s="87"/>
      <c r="K110" s="87"/>
      <c r="L110" s="78"/>
      <c r="M110" s="87"/>
      <c r="N110" s="87"/>
    </row>
    <row r="111" spans="1:14" s="87" customFormat="1" x14ac:dyDescent="0.25">
      <c r="A111" s="86"/>
      <c r="G111" s="111"/>
      <c r="H111" s="111"/>
      <c r="I111" s="111"/>
      <c r="J111" s="111"/>
      <c r="K111" s="111"/>
      <c r="L111" s="111"/>
      <c r="M111" s="111"/>
      <c r="N111" s="111"/>
    </row>
    <row r="112" spans="1:14" s="87" customFormat="1" x14ac:dyDescent="0.25">
      <c r="A112" s="86"/>
    </row>
    <row r="113" spans="1:1" s="87" customFormat="1" x14ac:dyDescent="0.25">
      <c r="A113" s="86"/>
    </row>
    <row r="114" spans="1:1" s="87" customFormat="1" x14ac:dyDescent="0.25">
      <c r="A114" s="86"/>
    </row>
    <row r="115" spans="1:1" s="87" customFormat="1" x14ac:dyDescent="0.25">
      <c r="A115" s="86"/>
    </row>
    <row r="116" spans="1:1" s="87" customFormat="1" x14ac:dyDescent="0.25">
      <c r="A116" s="86"/>
    </row>
    <row r="117" spans="1:1" s="87" customFormat="1" x14ac:dyDescent="0.25">
      <c r="A117" s="86"/>
    </row>
    <row r="118" spans="1:1" s="87" customFormat="1" x14ac:dyDescent="0.25">
      <c r="A118" s="86"/>
    </row>
    <row r="119" spans="1:1" s="87" customFormat="1" x14ac:dyDescent="0.25">
      <c r="A119" s="86"/>
    </row>
    <row r="120" spans="1:1" s="87" customFormat="1" x14ac:dyDescent="0.25">
      <c r="A120" s="86"/>
    </row>
    <row r="121" spans="1:1" s="87" customFormat="1" x14ac:dyDescent="0.25">
      <c r="A121" s="86"/>
    </row>
    <row r="122" spans="1:1" s="87" customFormat="1" x14ac:dyDescent="0.25">
      <c r="A122" s="86"/>
    </row>
    <row r="123" spans="1:1" s="87" customFormat="1" x14ac:dyDescent="0.25">
      <c r="A123" s="86"/>
    </row>
    <row r="124" spans="1:1" s="87" customFormat="1" x14ac:dyDescent="0.25">
      <c r="A124" s="86"/>
    </row>
    <row r="125" spans="1:1" s="87" customFormat="1" x14ac:dyDescent="0.25">
      <c r="A125" s="86"/>
    </row>
  </sheetData>
  <mergeCells count="172">
    <mergeCell ref="AB68:AB70"/>
    <mergeCell ref="AB71:AB73"/>
    <mergeCell ref="AB74:AB76"/>
    <mergeCell ref="AB77:AB79"/>
    <mergeCell ref="AB80:AB82"/>
    <mergeCell ref="AB83:AB85"/>
    <mergeCell ref="AA68:AA70"/>
    <mergeCell ref="AA71:AA73"/>
    <mergeCell ref="AA74:AA76"/>
    <mergeCell ref="AA77:AA79"/>
    <mergeCell ref="AA80:AA82"/>
    <mergeCell ref="AA83:AA85"/>
    <mergeCell ref="AB62:AB64"/>
    <mergeCell ref="AA62:AA64"/>
    <mergeCell ref="AA65:AA67"/>
    <mergeCell ref="W62:W64"/>
    <mergeCell ref="W65:W67"/>
    <mergeCell ref="V65:V67"/>
    <mergeCell ref="U65:U67"/>
    <mergeCell ref="T65:T67"/>
    <mergeCell ref="AB65:AB67"/>
    <mergeCell ref="T77:T79"/>
    <mergeCell ref="S77:S79"/>
    <mergeCell ref="R77:R79"/>
    <mergeCell ref="P77:Q79"/>
    <mergeCell ref="W68:W70"/>
    <mergeCell ref="W71:W73"/>
    <mergeCell ref="W74:W76"/>
    <mergeCell ref="V74:V76"/>
    <mergeCell ref="U74:U76"/>
    <mergeCell ref="T74:T76"/>
    <mergeCell ref="S74:S76"/>
    <mergeCell ref="R74:R76"/>
    <mergeCell ref="P74:Q76"/>
    <mergeCell ref="P62:Q64"/>
    <mergeCell ref="R62:R64"/>
    <mergeCell ref="S62:S64"/>
    <mergeCell ref="T62:T64"/>
    <mergeCell ref="U62:U64"/>
    <mergeCell ref="V62:V64"/>
    <mergeCell ref="P68:Q70"/>
    <mergeCell ref="R68:R70"/>
    <mergeCell ref="S68:S70"/>
    <mergeCell ref="T68:T70"/>
    <mergeCell ref="U68:U70"/>
    <mergeCell ref="V68:V70"/>
    <mergeCell ref="P65:Q67"/>
    <mergeCell ref="R65:R67"/>
    <mergeCell ref="S65:S67"/>
    <mergeCell ref="Y87:Z87"/>
    <mergeCell ref="V71:V73"/>
    <mergeCell ref="U71:U73"/>
    <mergeCell ref="T71:T73"/>
    <mergeCell ref="S71:S73"/>
    <mergeCell ref="R71:R73"/>
    <mergeCell ref="P71:Q73"/>
    <mergeCell ref="V83:V85"/>
    <mergeCell ref="U83:U85"/>
    <mergeCell ref="P83:Q85"/>
    <mergeCell ref="R83:R85"/>
    <mergeCell ref="S83:S85"/>
    <mergeCell ref="T83:T85"/>
    <mergeCell ref="P80:Q82"/>
    <mergeCell ref="R80:R82"/>
    <mergeCell ref="S80:S82"/>
    <mergeCell ref="T80:T82"/>
    <mergeCell ref="U80:U82"/>
    <mergeCell ref="V80:V82"/>
    <mergeCell ref="W83:W85"/>
    <mergeCell ref="W80:W82"/>
    <mergeCell ref="W77:W79"/>
    <mergeCell ref="V77:V79"/>
    <mergeCell ref="U77:U79"/>
    <mergeCell ref="AB60:AB61"/>
    <mergeCell ref="AA60:AA61"/>
    <mergeCell ref="Z60:Z61"/>
    <mergeCell ref="Y60:Y61"/>
    <mergeCell ref="X60:X61"/>
    <mergeCell ref="W60:W61"/>
    <mergeCell ref="V60:V61"/>
    <mergeCell ref="U60:U61"/>
    <mergeCell ref="T60:T61"/>
    <mergeCell ref="J74:J75"/>
    <mergeCell ref="I74:I75"/>
    <mergeCell ref="A1:F1"/>
    <mergeCell ref="A50:N50"/>
    <mergeCell ref="B79:E79"/>
    <mergeCell ref="B64:E64"/>
    <mergeCell ref="A2:N2"/>
    <mergeCell ref="A49:E49"/>
    <mergeCell ref="B29:E29"/>
    <mergeCell ref="B38:F38"/>
    <mergeCell ref="B42:E42"/>
    <mergeCell ref="B43:E43"/>
    <mergeCell ref="B44:E44"/>
    <mergeCell ref="A39:F39"/>
    <mergeCell ref="B13:E13"/>
    <mergeCell ref="B14:E14"/>
    <mergeCell ref="B15:E15"/>
    <mergeCell ref="B16:E16"/>
    <mergeCell ref="B17:E17"/>
    <mergeCell ref="B18:E18"/>
    <mergeCell ref="A52:N52"/>
    <mergeCell ref="A41:N41"/>
    <mergeCell ref="A12:N12"/>
    <mergeCell ref="A70:E70"/>
    <mergeCell ref="A67:E67"/>
    <mergeCell ref="A10:E10"/>
    <mergeCell ref="B24:E24"/>
    <mergeCell ref="B25:E25"/>
    <mergeCell ref="B26:E26"/>
    <mergeCell ref="B27:E27"/>
    <mergeCell ref="B28:E28"/>
    <mergeCell ref="B22:E22"/>
    <mergeCell ref="B23:E23"/>
    <mergeCell ref="B54:E54"/>
    <mergeCell ref="B62:E62"/>
    <mergeCell ref="B63:E63"/>
    <mergeCell ref="A65:E65"/>
    <mergeCell ref="B53:E53"/>
    <mergeCell ref="B47:E47"/>
    <mergeCell ref="B48:E48"/>
    <mergeCell ref="B45:E45"/>
    <mergeCell ref="B46:E46"/>
    <mergeCell ref="B20:E20"/>
    <mergeCell ref="B21:E21"/>
    <mergeCell ref="B105:F105"/>
    <mergeCell ref="B106:F106"/>
    <mergeCell ref="B107:F107"/>
    <mergeCell ref="A108:F108"/>
    <mergeCell ref="A97:E97"/>
    <mergeCell ref="B100:F100"/>
    <mergeCell ref="B101:F101"/>
    <mergeCell ref="B102:F102"/>
    <mergeCell ref="B103:F103"/>
    <mergeCell ref="B104:F104"/>
    <mergeCell ref="A99:N99"/>
    <mergeCell ref="B88:E88"/>
    <mergeCell ref="B89:E89"/>
    <mergeCell ref="B68:E68"/>
    <mergeCell ref="B69:E69"/>
    <mergeCell ref="B84:E84"/>
    <mergeCell ref="B85:E85"/>
    <mergeCell ref="B86:E86"/>
    <mergeCell ref="B73:E73"/>
    <mergeCell ref="B74:E74"/>
    <mergeCell ref="B76:E76"/>
    <mergeCell ref="B75:E75"/>
    <mergeCell ref="P59:AB59"/>
    <mergeCell ref="B78:E78"/>
    <mergeCell ref="B95:E95"/>
    <mergeCell ref="B96:E96"/>
    <mergeCell ref="B55:E55"/>
    <mergeCell ref="B56:E56"/>
    <mergeCell ref="B57:E57"/>
    <mergeCell ref="B58:E58"/>
    <mergeCell ref="B59:E59"/>
    <mergeCell ref="B90:E90"/>
    <mergeCell ref="B91:E91"/>
    <mergeCell ref="B92:E92"/>
    <mergeCell ref="B93:E93"/>
    <mergeCell ref="B94:E94"/>
    <mergeCell ref="B77:E77"/>
    <mergeCell ref="A80:E80"/>
    <mergeCell ref="A60:E60"/>
    <mergeCell ref="B87:E87"/>
    <mergeCell ref="A83:N83"/>
    <mergeCell ref="A72:N72"/>
    <mergeCell ref="S60:S61"/>
    <mergeCell ref="R60:R61"/>
    <mergeCell ref="P60:Q61"/>
    <mergeCell ref="M74:M75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F1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6CE21-AF75-4C86-8089-7F2631117EA8}">
  <dimension ref="A2:Z64"/>
  <sheetViews>
    <sheetView zoomScale="90" zoomScaleNormal="90" workbookViewId="0">
      <selection activeCell="A66" sqref="A66"/>
    </sheetView>
  </sheetViews>
  <sheetFormatPr defaultRowHeight="15" x14ac:dyDescent="0.25"/>
  <cols>
    <col min="1" max="1" width="5.42578125" style="87" bestFit="1" customWidth="1"/>
    <col min="2" max="2" width="14.5703125" style="78" customWidth="1"/>
    <col min="3" max="3" width="105.5703125" style="87" customWidth="1"/>
    <col min="4" max="5" width="10" style="87" customWidth="1"/>
    <col min="6" max="6" width="13" style="87" customWidth="1"/>
    <col min="7" max="11" width="12.42578125" style="87" customWidth="1"/>
    <col min="12" max="13" width="13.5703125" style="87" customWidth="1"/>
    <col min="14" max="15" width="14" style="87" customWidth="1"/>
    <col min="16" max="16" width="15.7109375" style="87" customWidth="1"/>
    <col min="17" max="17" width="18.5703125" style="87" customWidth="1"/>
    <col min="18" max="18" width="10.42578125" style="87" customWidth="1"/>
    <col min="19" max="20" width="11.28515625" style="87" customWidth="1"/>
    <col min="21" max="21" width="18.5703125" style="87" customWidth="1"/>
    <col min="22" max="22" width="10.42578125" style="87" customWidth="1"/>
    <col min="23" max="24" width="11.28515625" style="87" customWidth="1"/>
    <col min="25" max="16384" width="9.140625" style="87"/>
  </cols>
  <sheetData>
    <row r="2" spans="1:26" ht="15" customHeight="1" x14ac:dyDescent="0.25">
      <c r="A2" s="148" t="s">
        <v>146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/>
      <c r="Q2"/>
    </row>
    <row r="3" spans="1:26" ht="15" customHeight="1" x14ac:dyDescent="0.25">
      <c r="A3" s="159" t="s">
        <v>687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/>
      <c r="Q3"/>
    </row>
    <row r="4" spans="1:26" ht="21.75" customHeight="1" x14ac:dyDescent="0.25">
      <c r="A4" s="222" t="s">
        <v>85</v>
      </c>
      <c r="B4" s="245" t="s">
        <v>523</v>
      </c>
      <c r="C4" s="224" t="s">
        <v>524</v>
      </c>
      <c r="D4" s="222" t="s">
        <v>537</v>
      </c>
      <c r="E4" s="222" t="s">
        <v>525</v>
      </c>
      <c r="F4" s="222" t="s">
        <v>534</v>
      </c>
      <c r="G4" s="222" t="s">
        <v>535</v>
      </c>
      <c r="H4" s="222" t="s">
        <v>526</v>
      </c>
      <c r="I4" s="222" t="s">
        <v>32</v>
      </c>
      <c r="J4" s="222"/>
      <c r="K4" s="222"/>
      <c r="L4" s="222"/>
      <c r="M4" s="222"/>
      <c r="N4" s="222" t="s">
        <v>527</v>
      </c>
      <c r="O4" s="222" t="s">
        <v>528</v>
      </c>
    </row>
    <row r="5" spans="1:26" ht="21.75" customHeight="1" x14ac:dyDescent="0.25">
      <c r="A5" s="222"/>
      <c r="B5" s="245"/>
      <c r="C5" s="224"/>
      <c r="D5" s="222"/>
      <c r="E5" s="222"/>
      <c r="F5" s="222"/>
      <c r="G5" s="222"/>
      <c r="H5" s="222"/>
      <c r="I5" s="56" t="s">
        <v>135</v>
      </c>
      <c r="J5" s="56" t="s">
        <v>136</v>
      </c>
      <c r="K5" s="56" t="s">
        <v>137</v>
      </c>
      <c r="L5" s="56" t="s">
        <v>138</v>
      </c>
      <c r="M5" s="56" t="s">
        <v>139</v>
      </c>
      <c r="N5" s="222"/>
      <c r="O5" s="222"/>
    </row>
    <row r="6" spans="1:26" ht="123" customHeight="1" x14ac:dyDescent="0.25">
      <c r="A6" s="135">
        <v>1</v>
      </c>
      <c r="B6" s="79" t="s">
        <v>680</v>
      </c>
      <c r="C6" s="136" t="s">
        <v>688</v>
      </c>
      <c r="D6" s="112" t="s">
        <v>140</v>
      </c>
      <c r="E6" s="112">
        <v>2</v>
      </c>
      <c r="F6" s="112" t="s">
        <v>536</v>
      </c>
      <c r="G6" s="112">
        <v>2</v>
      </c>
      <c r="H6" s="112">
        <v>4</v>
      </c>
      <c r="I6" s="131">
        <v>170</v>
      </c>
      <c r="J6" s="131">
        <v>235</v>
      </c>
      <c r="K6" s="131">
        <v>220</v>
      </c>
      <c r="L6" s="131">
        <v>115.5</v>
      </c>
      <c r="M6" s="132">
        <v>124</v>
      </c>
      <c r="N6" s="134">
        <v>172.9</v>
      </c>
      <c r="O6" s="134">
        <v>691.6</v>
      </c>
    </row>
    <row r="7" spans="1:26" ht="46.5" customHeight="1" x14ac:dyDescent="0.25">
      <c r="A7" s="135">
        <v>2</v>
      </c>
      <c r="B7" s="79" t="s">
        <v>141</v>
      </c>
      <c r="C7" s="113" t="s">
        <v>504</v>
      </c>
      <c r="D7" s="112" t="s">
        <v>140</v>
      </c>
      <c r="E7" s="112">
        <v>2</v>
      </c>
      <c r="F7" s="112" t="s">
        <v>536</v>
      </c>
      <c r="G7" s="112">
        <v>2</v>
      </c>
      <c r="H7" s="112">
        <v>4</v>
      </c>
      <c r="I7" s="132">
        <v>94.9</v>
      </c>
      <c r="J7" s="132">
        <v>104.9</v>
      </c>
      <c r="K7" s="132">
        <v>74.650000000000006</v>
      </c>
      <c r="L7" s="132">
        <v>72.989999999999995</v>
      </c>
      <c r="M7" s="132">
        <v>69.099999999999994</v>
      </c>
      <c r="N7" s="134">
        <v>83.31</v>
      </c>
      <c r="O7" s="134">
        <v>333.24</v>
      </c>
    </row>
    <row r="8" spans="1:26" ht="46.5" customHeight="1" x14ac:dyDescent="0.25">
      <c r="A8" s="135">
        <v>3</v>
      </c>
      <c r="B8" s="79" t="s">
        <v>142</v>
      </c>
      <c r="C8" s="113" t="s">
        <v>505</v>
      </c>
      <c r="D8" s="112" t="s">
        <v>140</v>
      </c>
      <c r="E8" s="112">
        <v>1</v>
      </c>
      <c r="F8" s="112" t="s">
        <v>536</v>
      </c>
      <c r="G8" s="112">
        <v>2</v>
      </c>
      <c r="H8" s="112">
        <v>3</v>
      </c>
      <c r="I8" s="132">
        <v>29.9</v>
      </c>
      <c r="J8" s="132">
        <v>25</v>
      </c>
      <c r="K8" s="132">
        <v>30</v>
      </c>
      <c r="L8" s="132">
        <v>22.61</v>
      </c>
      <c r="M8" s="132">
        <v>22.61</v>
      </c>
      <c r="N8" s="134">
        <v>26.02</v>
      </c>
      <c r="O8" s="134">
        <v>78.06</v>
      </c>
    </row>
    <row r="9" spans="1:26" ht="46.5" customHeight="1" x14ac:dyDescent="0.25">
      <c r="A9" s="135">
        <v>4</v>
      </c>
      <c r="B9" s="79" t="s">
        <v>143</v>
      </c>
      <c r="C9" s="113" t="s">
        <v>506</v>
      </c>
      <c r="D9" s="112" t="s">
        <v>144</v>
      </c>
      <c r="E9" s="112">
        <v>4</v>
      </c>
      <c r="F9" s="112" t="s">
        <v>536</v>
      </c>
      <c r="G9" s="112">
        <v>2</v>
      </c>
      <c r="H9" s="112">
        <v>6</v>
      </c>
      <c r="I9" s="132">
        <v>11.5</v>
      </c>
      <c r="J9" s="132">
        <v>10.45</v>
      </c>
      <c r="K9" s="132">
        <v>9.8000000000000007</v>
      </c>
      <c r="L9" s="132">
        <v>10.85</v>
      </c>
      <c r="M9" s="133">
        <v>9.8000000000000007</v>
      </c>
      <c r="N9" s="134">
        <v>10.48</v>
      </c>
      <c r="O9" s="134">
        <v>62.88</v>
      </c>
    </row>
    <row r="10" spans="1:26" ht="46.5" customHeight="1" x14ac:dyDescent="0.25">
      <c r="A10" s="135">
        <v>5</v>
      </c>
      <c r="B10" s="79" t="s">
        <v>681</v>
      </c>
      <c r="C10" s="136" t="s">
        <v>689</v>
      </c>
      <c r="D10" s="112" t="s">
        <v>144</v>
      </c>
      <c r="E10" s="112">
        <v>2</v>
      </c>
      <c r="F10" s="112" t="s">
        <v>536</v>
      </c>
      <c r="G10" s="112">
        <v>2</v>
      </c>
      <c r="H10" s="112">
        <v>4</v>
      </c>
      <c r="I10" s="132">
        <v>120.61</v>
      </c>
      <c r="J10" s="132">
        <v>100.69499999999999</v>
      </c>
      <c r="K10" s="132">
        <v>149.97499999999999</v>
      </c>
      <c r="L10" s="132">
        <v>119.485</v>
      </c>
      <c r="M10" s="132">
        <v>159.6</v>
      </c>
      <c r="N10" s="134">
        <v>130.07</v>
      </c>
      <c r="O10" s="134">
        <v>520.28</v>
      </c>
    </row>
    <row r="11" spans="1:26" ht="46.5" customHeight="1" x14ac:dyDescent="0.25">
      <c r="A11" s="135">
        <v>6</v>
      </c>
      <c r="B11" s="79" t="s">
        <v>690</v>
      </c>
      <c r="C11" s="136" t="s">
        <v>691</v>
      </c>
      <c r="D11" s="112" t="s">
        <v>140</v>
      </c>
      <c r="E11" s="112">
        <v>2</v>
      </c>
      <c r="F11" s="112" t="s">
        <v>536</v>
      </c>
      <c r="G11" s="112">
        <v>2</v>
      </c>
      <c r="H11" s="112">
        <v>4</v>
      </c>
      <c r="I11" s="132">
        <v>43.164999999999999</v>
      </c>
      <c r="J11" s="132">
        <v>26.164999999999999</v>
      </c>
      <c r="K11" s="132">
        <v>35.06</v>
      </c>
      <c r="L11" s="132">
        <v>53.295000000000002</v>
      </c>
      <c r="M11" s="132">
        <v>43.25</v>
      </c>
      <c r="N11" s="134">
        <v>40.19</v>
      </c>
      <c r="O11" s="134">
        <v>160.76</v>
      </c>
    </row>
    <row r="12" spans="1:26" x14ac:dyDescent="0.25">
      <c r="A12" s="223" t="s">
        <v>513</v>
      </c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74">
        <v>1846.8200000000002</v>
      </c>
      <c r="P12"/>
      <c r="Q12"/>
      <c r="R12"/>
      <c r="S12"/>
      <c r="T12"/>
      <c r="U12"/>
      <c r="V12"/>
      <c r="W12"/>
      <c r="X12"/>
      <c r="Y12"/>
      <c r="Z12"/>
    </row>
    <row r="13" spans="1:26" x14ac:dyDescent="0.25">
      <c r="A13" s="223" t="s">
        <v>514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74">
        <v>153.90166666666667</v>
      </c>
      <c r="P13"/>
      <c r="Q13"/>
      <c r="R13"/>
      <c r="S13"/>
      <c r="T13"/>
      <c r="U13"/>
      <c r="V13"/>
      <c r="W13"/>
      <c r="X13"/>
      <c r="Y13"/>
      <c r="Z13"/>
    </row>
    <row r="14" spans="1:26" x14ac:dyDescent="0.25">
      <c r="A14" s="159" t="s">
        <v>151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Q14"/>
      <c r="R14"/>
      <c r="S14"/>
      <c r="T14"/>
      <c r="U14"/>
      <c r="V14"/>
      <c r="W14"/>
      <c r="X14"/>
      <c r="Y14"/>
      <c r="Z14"/>
    </row>
    <row r="15" spans="1:26" x14ac:dyDescent="0.25">
      <c r="A15" s="222" t="s">
        <v>85</v>
      </c>
      <c r="B15" s="222" t="s">
        <v>523</v>
      </c>
      <c r="C15" s="224" t="s">
        <v>524</v>
      </c>
      <c r="D15" s="222" t="s">
        <v>537</v>
      </c>
      <c r="E15" s="240" t="s">
        <v>525</v>
      </c>
      <c r="F15" s="240" t="s">
        <v>534</v>
      </c>
      <c r="G15" s="240" t="s">
        <v>535</v>
      </c>
      <c r="H15" s="222" t="s">
        <v>526</v>
      </c>
      <c r="I15" s="222" t="s">
        <v>32</v>
      </c>
      <c r="J15" s="222"/>
      <c r="K15" s="222"/>
      <c r="L15" s="222"/>
      <c r="M15" s="222"/>
      <c r="N15" s="222" t="s">
        <v>527</v>
      </c>
      <c r="O15" s="222" t="s">
        <v>528</v>
      </c>
      <c r="Q15"/>
      <c r="R15"/>
      <c r="S15"/>
      <c r="T15"/>
      <c r="U15"/>
      <c r="V15"/>
      <c r="W15"/>
      <c r="X15"/>
      <c r="Y15"/>
      <c r="Z15"/>
    </row>
    <row r="16" spans="1:26" x14ac:dyDescent="0.25">
      <c r="A16" s="222"/>
      <c r="B16" s="222"/>
      <c r="C16" s="224"/>
      <c r="D16" s="222"/>
      <c r="E16" s="241"/>
      <c r="F16" s="241"/>
      <c r="G16" s="241"/>
      <c r="H16" s="222"/>
      <c r="I16" s="56" t="s">
        <v>135</v>
      </c>
      <c r="J16" s="56" t="s">
        <v>136</v>
      </c>
      <c r="K16" s="56" t="s">
        <v>137</v>
      </c>
      <c r="L16" s="56" t="s">
        <v>138</v>
      </c>
      <c r="M16" s="56" t="s">
        <v>139</v>
      </c>
      <c r="N16" s="222"/>
      <c r="O16" s="222"/>
      <c r="Q16"/>
      <c r="R16"/>
      <c r="S16"/>
      <c r="T16"/>
      <c r="U16"/>
      <c r="V16"/>
      <c r="W16"/>
      <c r="X16"/>
      <c r="Y16"/>
      <c r="Z16"/>
    </row>
    <row r="17" spans="1:26" ht="31.5" customHeight="1" x14ac:dyDescent="0.25">
      <c r="A17" s="112">
        <v>1</v>
      </c>
      <c r="B17" s="79" t="s">
        <v>141</v>
      </c>
      <c r="C17" s="113" t="s">
        <v>507</v>
      </c>
      <c r="D17" s="112" t="s">
        <v>140</v>
      </c>
      <c r="E17" s="112">
        <v>2</v>
      </c>
      <c r="F17" s="112" t="s">
        <v>536</v>
      </c>
      <c r="G17" s="112">
        <v>2</v>
      </c>
      <c r="H17" s="112">
        <f>E17+G17</f>
        <v>4</v>
      </c>
      <c r="I17" s="57">
        <v>15.9</v>
      </c>
      <c r="J17" s="57">
        <v>18.8</v>
      </c>
      <c r="K17" s="57">
        <v>15.49</v>
      </c>
      <c r="L17" s="57">
        <v>15.9</v>
      </c>
      <c r="M17" s="57">
        <v>14.8</v>
      </c>
      <c r="N17" s="57">
        <f>ROUND(AVERAGE(I17:M17),2)</f>
        <v>16.18</v>
      </c>
      <c r="O17" s="57">
        <f>N17*H17</f>
        <v>64.72</v>
      </c>
      <c r="Q17"/>
      <c r="R17"/>
      <c r="S17"/>
      <c r="T17"/>
      <c r="U17"/>
      <c r="V17"/>
      <c r="W17"/>
      <c r="X17"/>
      <c r="Y17"/>
      <c r="Z17"/>
    </row>
    <row r="18" spans="1:26" ht="31.5" customHeight="1" x14ac:dyDescent="0.25">
      <c r="A18" s="112">
        <v>2</v>
      </c>
      <c r="B18" s="79" t="s">
        <v>148</v>
      </c>
      <c r="C18" s="113" t="s">
        <v>508</v>
      </c>
      <c r="D18" s="112" t="s">
        <v>140</v>
      </c>
      <c r="E18" s="112">
        <v>2</v>
      </c>
      <c r="F18" s="112" t="s">
        <v>536</v>
      </c>
      <c r="G18" s="112">
        <v>2</v>
      </c>
      <c r="H18" s="112">
        <f t="shared" ref="H18:H22" si="0">E18+G18</f>
        <v>4</v>
      </c>
      <c r="I18" s="57">
        <v>292.26</v>
      </c>
      <c r="J18" s="57">
        <v>329.72</v>
      </c>
      <c r="K18" s="57">
        <v>299.89999999999998</v>
      </c>
      <c r="L18" s="57">
        <v>297.8</v>
      </c>
      <c r="M18" s="57">
        <v>312.7</v>
      </c>
      <c r="N18" s="57">
        <f t="shared" ref="N18:N22" si="1">ROUND(AVERAGE(I18:M18),2)</f>
        <v>306.48</v>
      </c>
      <c r="O18" s="57">
        <f t="shared" ref="O18:O22" si="2">N18*H18</f>
        <v>1225.92</v>
      </c>
      <c r="Q18"/>
      <c r="R18"/>
      <c r="S18"/>
      <c r="T18"/>
      <c r="U18"/>
      <c r="V18"/>
      <c r="W18"/>
      <c r="X18"/>
      <c r="Y18"/>
      <c r="Z18"/>
    </row>
    <row r="19" spans="1:26" ht="31.5" customHeight="1" x14ac:dyDescent="0.25">
      <c r="A19" s="112">
        <v>3</v>
      </c>
      <c r="B19" s="79" t="s">
        <v>142</v>
      </c>
      <c r="C19" s="113" t="s">
        <v>509</v>
      </c>
      <c r="D19" s="112" t="s">
        <v>140</v>
      </c>
      <c r="E19" s="112">
        <v>1</v>
      </c>
      <c r="F19" s="112" t="s">
        <v>536</v>
      </c>
      <c r="G19" s="112">
        <v>2</v>
      </c>
      <c r="H19" s="112">
        <f t="shared" si="0"/>
        <v>3</v>
      </c>
      <c r="I19" s="57">
        <v>16</v>
      </c>
      <c r="J19" s="57">
        <v>20</v>
      </c>
      <c r="K19" s="57">
        <v>10.61</v>
      </c>
      <c r="L19" s="57">
        <v>10</v>
      </c>
      <c r="M19" s="57">
        <v>21.98</v>
      </c>
      <c r="N19" s="57">
        <f t="shared" si="1"/>
        <v>15.72</v>
      </c>
      <c r="O19" s="57">
        <f t="shared" si="2"/>
        <v>47.160000000000004</v>
      </c>
      <c r="Q19"/>
      <c r="R19"/>
      <c r="S19"/>
      <c r="T19"/>
      <c r="U19"/>
      <c r="V19"/>
      <c r="W19"/>
      <c r="X19"/>
      <c r="Y19"/>
      <c r="Z19"/>
    </row>
    <row r="20" spans="1:26" ht="31.5" customHeight="1" x14ac:dyDescent="0.25">
      <c r="A20" s="112">
        <v>4</v>
      </c>
      <c r="B20" s="79" t="s">
        <v>143</v>
      </c>
      <c r="C20" s="113" t="s">
        <v>510</v>
      </c>
      <c r="D20" s="112" t="s">
        <v>144</v>
      </c>
      <c r="E20" s="112">
        <v>4</v>
      </c>
      <c r="F20" s="112" t="s">
        <v>536</v>
      </c>
      <c r="G20" s="112">
        <v>2</v>
      </c>
      <c r="H20" s="112">
        <f t="shared" si="0"/>
        <v>6</v>
      </c>
      <c r="I20" s="57">
        <v>3.9</v>
      </c>
      <c r="J20" s="57">
        <v>18</v>
      </c>
      <c r="K20" s="57">
        <v>2.36</v>
      </c>
      <c r="L20" s="57">
        <v>14.82</v>
      </c>
      <c r="M20" s="57">
        <v>17.170000000000002</v>
      </c>
      <c r="N20" s="57">
        <f t="shared" si="1"/>
        <v>11.25</v>
      </c>
      <c r="O20" s="57">
        <f t="shared" si="2"/>
        <v>67.5</v>
      </c>
      <c r="P20"/>
    </row>
    <row r="21" spans="1:26" ht="60" x14ac:dyDescent="0.25">
      <c r="A21" s="112">
        <v>5</v>
      </c>
      <c r="B21" s="79" t="s">
        <v>149</v>
      </c>
      <c r="C21" s="113" t="s">
        <v>543</v>
      </c>
      <c r="D21" s="112" t="s">
        <v>144</v>
      </c>
      <c r="E21" s="112">
        <v>2</v>
      </c>
      <c r="F21" s="112" t="s">
        <v>536</v>
      </c>
      <c r="G21" s="112">
        <v>2</v>
      </c>
      <c r="H21" s="112">
        <f t="shared" si="0"/>
        <v>4</v>
      </c>
      <c r="I21" s="57">
        <v>204</v>
      </c>
      <c r="J21" s="57">
        <v>90</v>
      </c>
      <c r="K21" s="57">
        <v>124.89</v>
      </c>
      <c r="L21" s="57">
        <v>275.37</v>
      </c>
      <c r="M21" s="57">
        <v>424.44</v>
      </c>
      <c r="N21" s="57">
        <f t="shared" si="1"/>
        <v>223.74</v>
      </c>
      <c r="O21" s="57">
        <f t="shared" si="2"/>
        <v>894.96</v>
      </c>
      <c r="P21"/>
    </row>
    <row r="22" spans="1:26" ht="30" customHeight="1" x14ac:dyDescent="0.25">
      <c r="A22" s="114">
        <v>6</v>
      </c>
      <c r="B22" s="90" t="s">
        <v>150</v>
      </c>
      <c r="C22" s="115" t="s">
        <v>666</v>
      </c>
      <c r="D22" s="114" t="s">
        <v>140</v>
      </c>
      <c r="E22" s="114">
        <v>1</v>
      </c>
      <c r="F22" s="114" t="s">
        <v>536</v>
      </c>
      <c r="G22" s="114">
        <v>1</v>
      </c>
      <c r="H22" s="112">
        <f t="shared" si="0"/>
        <v>2</v>
      </c>
      <c r="I22" s="57">
        <v>61</v>
      </c>
      <c r="J22" s="57">
        <v>70</v>
      </c>
      <c r="K22" s="57">
        <v>96.49</v>
      </c>
      <c r="L22" s="57">
        <v>135.91</v>
      </c>
      <c r="M22" s="57">
        <v>195</v>
      </c>
      <c r="N22" s="57">
        <f t="shared" si="1"/>
        <v>111.68</v>
      </c>
      <c r="O22" s="57">
        <f t="shared" si="2"/>
        <v>223.36</v>
      </c>
      <c r="P22"/>
    </row>
    <row r="23" spans="1:26" x14ac:dyDescent="0.25">
      <c r="A23" s="223" t="s">
        <v>515</v>
      </c>
      <c r="B23" s="223"/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223"/>
      <c r="N23" s="223"/>
      <c r="O23" s="74">
        <f>SUM(O17:O22)</f>
        <v>2523.6200000000003</v>
      </c>
      <c r="P23"/>
      <c r="Q23"/>
      <c r="R23"/>
      <c r="U23"/>
      <c r="V23"/>
      <c r="W23"/>
      <c r="X23"/>
    </row>
    <row r="24" spans="1:26" ht="15" customHeight="1" x14ac:dyDescent="0.25">
      <c r="A24" s="223" t="s">
        <v>516</v>
      </c>
      <c r="B24" s="223"/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75">
        <f>O23/12</f>
        <v>210.3016666666667</v>
      </c>
      <c r="P24"/>
    </row>
    <row r="25" spans="1:26" ht="21.75" customHeight="1" x14ac:dyDescent="0.25"/>
    <row r="26" spans="1:26" x14ac:dyDescent="0.25">
      <c r="B26" s="242" t="s">
        <v>152</v>
      </c>
      <c r="C26" s="243"/>
      <c r="D26" s="243"/>
      <c r="E26" s="243"/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4"/>
    </row>
    <row r="27" spans="1:26" x14ac:dyDescent="0.25">
      <c r="B27" s="222" t="s">
        <v>85</v>
      </c>
      <c r="C27" s="224" t="s">
        <v>532</v>
      </c>
      <c r="D27" s="222" t="s">
        <v>537</v>
      </c>
      <c r="E27" s="225" t="s">
        <v>533</v>
      </c>
      <c r="F27" s="226"/>
      <c r="G27" s="226"/>
      <c r="H27" s="226"/>
      <c r="I27" s="227"/>
      <c r="J27" s="222" t="s">
        <v>32</v>
      </c>
      <c r="K27" s="222"/>
      <c r="L27" s="222"/>
      <c r="M27" s="222"/>
      <c r="N27" s="222"/>
      <c r="O27" s="222" t="s">
        <v>527</v>
      </c>
      <c r="P27" s="222" t="s">
        <v>530</v>
      </c>
    </row>
    <row r="28" spans="1:26" x14ac:dyDescent="0.25">
      <c r="B28" s="222"/>
      <c r="C28" s="224"/>
      <c r="D28" s="222"/>
      <c r="E28" s="56" t="s">
        <v>153</v>
      </c>
      <c r="F28" s="56" t="s">
        <v>154</v>
      </c>
      <c r="G28" s="56" t="s">
        <v>155</v>
      </c>
      <c r="H28" s="56" t="s">
        <v>156</v>
      </c>
      <c r="I28" s="56" t="s">
        <v>36</v>
      </c>
      <c r="J28" s="56" t="s">
        <v>135</v>
      </c>
      <c r="K28" s="56" t="s">
        <v>136</v>
      </c>
      <c r="L28" s="56" t="s">
        <v>137</v>
      </c>
      <c r="M28" s="56" t="s">
        <v>138</v>
      </c>
      <c r="N28" s="56" t="s">
        <v>139</v>
      </c>
      <c r="O28" s="222"/>
      <c r="P28" s="222"/>
    </row>
    <row r="29" spans="1:26" x14ac:dyDescent="0.25">
      <c r="B29" s="79">
        <v>4</v>
      </c>
      <c r="C29" s="113" t="s">
        <v>159</v>
      </c>
      <c r="D29" s="112" t="s">
        <v>140</v>
      </c>
      <c r="E29" s="112">
        <v>1</v>
      </c>
      <c r="F29" s="112">
        <v>1</v>
      </c>
      <c r="G29" s="112">
        <v>0</v>
      </c>
      <c r="H29" s="112">
        <v>0</v>
      </c>
      <c r="I29" s="112">
        <f t="shared" ref="I29" si="3">SUM(E29:H29)</f>
        <v>2</v>
      </c>
      <c r="J29" s="116">
        <v>149.9</v>
      </c>
      <c r="K29" s="116"/>
      <c r="L29" s="116">
        <v>200</v>
      </c>
      <c r="M29" s="116">
        <v>135.06</v>
      </c>
      <c r="N29" s="116">
        <v>141.12</v>
      </c>
      <c r="O29" s="58">
        <f t="shared" ref="O29" si="4">ROUND(AVERAGE(J29:N29),2)</f>
        <v>156.52000000000001</v>
      </c>
      <c r="P29" s="59">
        <f>O29*I29</f>
        <v>313.04000000000002</v>
      </c>
    </row>
    <row r="30" spans="1:26" x14ac:dyDescent="0.25">
      <c r="B30" s="219" t="s">
        <v>511</v>
      </c>
      <c r="C30" s="220"/>
      <c r="D30" s="220"/>
      <c r="E30" s="220"/>
      <c r="F30" s="220"/>
      <c r="G30" s="220"/>
      <c r="H30" s="220"/>
      <c r="I30" s="220"/>
      <c r="J30" s="220"/>
      <c r="K30" s="220"/>
      <c r="L30" s="220"/>
      <c r="M30" s="220"/>
      <c r="N30" s="220"/>
      <c r="O30" s="221"/>
      <c r="P30" s="60">
        <f>SUM(P29:P29)</f>
        <v>313.04000000000002</v>
      </c>
    </row>
    <row r="31" spans="1:26" x14ac:dyDescent="0.25">
      <c r="B31" s="219" t="s">
        <v>512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1"/>
      <c r="P31" s="60">
        <f>P30/12</f>
        <v>26.08666666666667</v>
      </c>
    </row>
    <row r="32" spans="1:26" x14ac:dyDescent="0.25">
      <c r="B32" s="219" t="s">
        <v>520</v>
      </c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1"/>
      <c r="P32" s="60">
        <f>P31/(Resumo!N11+Resumo!N12+Resumo!N13+Resumo!N14+Resumo!N15)</f>
        <v>0.33444444444444449</v>
      </c>
    </row>
    <row r="34" spans="2:18" x14ac:dyDescent="0.25">
      <c r="B34" s="242" t="s">
        <v>667</v>
      </c>
      <c r="C34" s="243"/>
      <c r="D34" s="243"/>
      <c r="E34" s="243"/>
      <c r="F34" s="243"/>
      <c r="G34" s="243"/>
      <c r="H34" s="243"/>
      <c r="I34" s="243"/>
      <c r="J34" s="243"/>
      <c r="K34" s="243"/>
      <c r="L34" s="243"/>
      <c r="M34" s="243"/>
      <c r="N34" s="243"/>
      <c r="O34" s="243"/>
      <c r="P34" s="243"/>
      <c r="Q34" s="244"/>
    </row>
    <row r="35" spans="2:18" x14ac:dyDescent="0.25">
      <c r="B35" s="222" t="s">
        <v>85</v>
      </c>
      <c r="C35" s="224" t="s">
        <v>531</v>
      </c>
      <c r="D35" s="222" t="s">
        <v>537</v>
      </c>
      <c r="E35" s="225" t="s">
        <v>533</v>
      </c>
      <c r="F35" s="226"/>
      <c r="G35" s="226"/>
      <c r="H35" s="226"/>
      <c r="I35" s="227"/>
      <c r="J35" s="222" t="s">
        <v>32</v>
      </c>
      <c r="K35" s="222"/>
      <c r="L35" s="222"/>
      <c r="M35" s="222"/>
      <c r="N35" s="222"/>
      <c r="O35" s="222" t="s">
        <v>527</v>
      </c>
      <c r="P35" s="222" t="s">
        <v>529</v>
      </c>
      <c r="Q35" s="222" t="s">
        <v>530</v>
      </c>
    </row>
    <row r="36" spans="2:18" ht="15" customHeight="1" x14ac:dyDescent="0.25">
      <c r="B36" s="222"/>
      <c r="C36" s="224"/>
      <c r="D36" s="222"/>
      <c r="E36" s="56" t="s">
        <v>153</v>
      </c>
      <c r="F36" s="56" t="s">
        <v>154</v>
      </c>
      <c r="G36" s="56" t="s">
        <v>155</v>
      </c>
      <c r="H36" s="56" t="s">
        <v>156</v>
      </c>
      <c r="I36" s="56" t="s">
        <v>157</v>
      </c>
      <c r="J36" s="56" t="s">
        <v>135</v>
      </c>
      <c r="K36" s="56" t="s">
        <v>136</v>
      </c>
      <c r="L36" s="56" t="s">
        <v>137</v>
      </c>
      <c r="M36" s="56" t="s">
        <v>138</v>
      </c>
      <c r="N36" s="56" t="s">
        <v>139</v>
      </c>
      <c r="O36" s="222"/>
      <c r="P36" s="222"/>
      <c r="Q36" s="222"/>
    </row>
    <row r="37" spans="2:18" ht="15" customHeight="1" x14ac:dyDescent="0.25">
      <c r="B37" s="79">
        <v>1</v>
      </c>
      <c r="C37" s="113" t="s">
        <v>161</v>
      </c>
      <c r="D37" s="112" t="s">
        <v>140</v>
      </c>
      <c r="E37" s="112">
        <v>1</v>
      </c>
      <c r="F37" s="112">
        <v>1</v>
      </c>
      <c r="G37" s="112">
        <v>1</v>
      </c>
      <c r="H37" s="112">
        <v>2</v>
      </c>
      <c r="I37" s="112">
        <f t="shared" ref="I37" si="5">SUM(E37:H37)</f>
        <v>5</v>
      </c>
      <c r="J37" s="116">
        <v>124.07</v>
      </c>
      <c r="K37" s="116">
        <v>113.32</v>
      </c>
      <c r="L37" s="116">
        <v>181.83</v>
      </c>
      <c r="M37" s="116">
        <v>155.80000000000001</v>
      </c>
      <c r="N37" s="116">
        <v>199.9</v>
      </c>
      <c r="O37" s="116">
        <f t="shared" ref="O37:O42" si="6">ROUND(AVERAGE(J37:N37),2)</f>
        <v>154.97999999999999</v>
      </c>
      <c r="P37" s="77">
        <v>120</v>
      </c>
      <c r="Q37" s="58">
        <f t="shared" ref="Q37:Q44" si="7">(O37*I37)/(P37/12)</f>
        <v>77.489999999999995</v>
      </c>
    </row>
    <row r="38" spans="2:18" x14ac:dyDescent="0.25">
      <c r="B38" s="79">
        <v>2</v>
      </c>
      <c r="C38" s="113" t="s">
        <v>522</v>
      </c>
      <c r="D38" s="112" t="s">
        <v>140</v>
      </c>
      <c r="E38" s="112">
        <v>4</v>
      </c>
      <c r="F38" s="112">
        <v>4</v>
      </c>
      <c r="G38" s="112">
        <v>30</v>
      </c>
      <c r="H38" s="112">
        <v>43</v>
      </c>
      <c r="I38" s="112">
        <f>SUM(E38:H38)</f>
        <v>81</v>
      </c>
      <c r="J38" s="116">
        <v>17.75</v>
      </c>
      <c r="K38" s="116">
        <v>39.68</v>
      </c>
      <c r="L38" s="116">
        <v>48.73</v>
      </c>
      <c r="M38" s="116">
        <v>21.82</v>
      </c>
      <c r="N38" s="116">
        <v>31.25</v>
      </c>
      <c r="O38" s="116">
        <f t="shared" si="6"/>
        <v>31.85</v>
      </c>
      <c r="P38" s="77">
        <v>60</v>
      </c>
      <c r="Q38" s="58">
        <f t="shared" si="7"/>
        <v>515.97</v>
      </c>
    </row>
    <row r="39" spans="2:18" x14ac:dyDescent="0.25">
      <c r="B39" s="79">
        <v>3</v>
      </c>
      <c r="C39" s="113" t="s">
        <v>163</v>
      </c>
      <c r="D39" s="112" t="s">
        <v>140</v>
      </c>
      <c r="E39" s="112">
        <v>4</v>
      </c>
      <c r="F39" s="112">
        <v>4</v>
      </c>
      <c r="G39" s="112">
        <v>18</v>
      </c>
      <c r="H39" s="112">
        <v>20</v>
      </c>
      <c r="I39" s="112">
        <f t="shared" ref="I39:I40" si="8">SUM(E39:H39)</f>
        <v>46</v>
      </c>
      <c r="J39" s="116">
        <v>34.6</v>
      </c>
      <c r="K39" s="116">
        <v>20</v>
      </c>
      <c r="L39" s="116">
        <v>20</v>
      </c>
      <c r="M39" s="116">
        <v>45.25</v>
      </c>
      <c r="N39" s="116">
        <v>53.54</v>
      </c>
      <c r="O39" s="116">
        <f t="shared" si="6"/>
        <v>34.68</v>
      </c>
      <c r="P39" s="77">
        <v>120</v>
      </c>
      <c r="Q39" s="58">
        <f t="shared" si="7"/>
        <v>159.52799999999999</v>
      </c>
    </row>
    <row r="40" spans="2:18" x14ac:dyDescent="0.25">
      <c r="B40" s="79">
        <v>4</v>
      </c>
      <c r="C40" s="113" t="s">
        <v>164</v>
      </c>
      <c r="D40" s="112" t="s">
        <v>140</v>
      </c>
      <c r="E40" s="112">
        <v>4</v>
      </c>
      <c r="F40" s="112">
        <v>4</v>
      </c>
      <c r="G40" s="112">
        <v>18</v>
      </c>
      <c r="H40" s="112">
        <v>20</v>
      </c>
      <c r="I40" s="112">
        <f t="shared" si="8"/>
        <v>46</v>
      </c>
      <c r="J40" s="116">
        <v>134.05000000000001</v>
      </c>
      <c r="K40" s="116">
        <v>42</v>
      </c>
      <c r="L40" s="116">
        <v>35</v>
      </c>
      <c r="M40" s="116">
        <v>20</v>
      </c>
      <c r="N40" s="116">
        <v>25.66</v>
      </c>
      <c r="O40" s="116">
        <f t="shared" si="6"/>
        <v>51.34</v>
      </c>
      <c r="P40" s="77">
        <v>120</v>
      </c>
      <c r="Q40" s="58">
        <f t="shared" si="7"/>
        <v>236.16400000000004</v>
      </c>
    </row>
    <row r="41" spans="2:18" ht="30" x14ac:dyDescent="0.25">
      <c r="B41" s="79">
        <v>7</v>
      </c>
      <c r="C41" s="113" t="s">
        <v>165</v>
      </c>
      <c r="D41" s="112" t="s">
        <v>140</v>
      </c>
      <c r="E41" s="112">
        <v>2</v>
      </c>
      <c r="F41" s="112">
        <v>2</v>
      </c>
      <c r="G41" s="112">
        <v>20</v>
      </c>
      <c r="H41" s="112">
        <v>34</v>
      </c>
      <c r="I41" s="112">
        <f t="shared" ref="I41:I44" si="9">SUM(E41:H41)</f>
        <v>58</v>
      </c>
      <c r="J41" s="116">
        <v>112.5</v>
      </c>
      <c r="K41" s="116">
        <v>450</v>
      </c>
      <c r="L41" s="116">
        <v>350</v>
      </c>
      <c r="M41" s="116">
        <v>350</v>
      </c>
      <c r="N41" s="116">
        <v>433.82</v>
      </c>
      <c r="O41" s="116">
        <f t="shared" si="6"/>
        <v>339.26</v>
      </c>
      <c r="P41" s="77">
        <v>120</v>
      </c>
      <c r="Q41" s="58">
        <f t="shared" si="7"/>
        <v>1967.7079999999999</v>
      </c>
    </row>
    <row r="42" spans="2:18" x14ac:dyDescent="0.25">
      <c r="B42" s="79">
        <v>8</v>
      </c>
      <c r="C42" s="113" t="s">
        <v>158</v>
      </c>
      <c r="D42" s="112" t="s">
        <v>140</v>
      </c>
      <c r="E42" s="112">
        <v>2</v>
      </c>
      <c r="F42" s="112">
        <v>2</v>
      </c>
      <c r="G42" s="112">
        <v>3</v>
      </c>
      <c r="H42" s="112">
        <v>3</v>
      </c>
      <c r="I42" s="112">
        <f t="shared" si="9"/>
        <v>10</v>
      </c>
      <c r="J42" s="116">
        <v>15.09</v>
      </c>
      <c r="K42" s="116">
        <v>18</v>
      </c>
      <c r="L42" s="116">
        <v>35</v>
      </c>
      <c r="M42" s="116">
        <v>8</v>
      </c>
      <c r="N42" s="116">
        <v>12</v>
      </c>
      <c r="O42" s="116">
        <f t="shared" si="6"/>
        <v>17.62</v>
      </c>
      <c r="P42" s="77">
        <v>24</v>
      </c>
      <c r="Q42" s="58">
        <f t="shared" si="7"/>
        <v>88.100000000000009</v>
      </c>
    </row>
    <row r="43" spans="2:18" x14ac:dyDescent="0.25">
      <c r="B43" s="79">
        <v>9</v>
      </c>
      <c r="C43" s="113" t="s">
        <v>162</v>
      </c>
      <c r="D43" s="112" t="s">
        <v>140</v>
      </c>
      <c r="E43" s="112">
        <v>1</v>
      </c>
      <c r="F43" s="112">
        <v>1</v>
      </c>
      <c r="G43" s="112">
        <v>2</v>
      </c>
      <c r="H43" s="112">
        <v>2</v>
      </c>
      <c r="I43" s="112">
        <f t="shared" si="9"/>
        <v>6</v>
      </c>
      <c r="J43" s="116">
        <v>29</v>
      </c>
      <c r="K43" s="116">
        <v>25.54</v>
      </c>
      <c r="L43" s="116">
        <v>79.8</v>
      </c>
      <c r="M43" s="116">
        <v>41.56</v>
      </c>
      <c r="N43" s="116">
        <v>41.56</v>
      </c>
      <c r="O43" s="116">
        <f t="shared" ref="O43:O44" si="10">ROUND(AVERAGE(J43:N43),2)</f>
        <v>43.49</v>
      </c>
      <c r="P43" s="77">
        <v>120</v>
      </c>
      <c r="Q43" s="58">
        <f t="shared" si="7"/>
        <v>26.094000000000001</v>
      </c>
    </row>
    <row r="44" spans="2:18" ht="15" customHeight="1" x14ac:dyDescent="0.25">
      <c r="B44" s="79">
        <v>10</v>
      </c>
      <c r="C44" s="113" t="s">
        <v>539</v>
      </c>
      <c r="D44" s="112" t="s">
        <v>140</v>
      </c>
      <c r="E44" s="112">
        <v>1</v>
      </c>
      <c r="F44" s="112">
        <v>1</v>
      </c>
      <c r="G44" s="112">
        <v>13</v>
      </c>
      <c r="H44" s="112">
        <v>15</v>
      </c>
      <c r="I44" s="112">
        <f t="shared" si="9"/>
        <v>30</v>
      </c>
      <c r="J44" s="116">
        <v>612.41999999999996</v>
      </c>
      <c r="K44" s="116">
        <v>589</v>
      </c>
      <c r="L44" s="116">
        <v>449</v>
      </c>
      <c r="M44" s="116">
        <v>639</v>
      </c>
      <c r="N44" s="116">
        <v>519</v>
      </c>
      <c r="O44" s="116">
        <f t="shared" si="10"/>
        <v>561.67999999999995</v>
      </c>
      <c r="P44" s="77">
        <v>120</v>
      </c>
      <c r="Q44" s="58">
        <f t="shared" si="7"/>
        <v>1685.0399999999997</v>
      </c>
    </row>
    <row r="45" spans="2:18" ht="15" customHeight="1" x14ac:dyDescent="0.25">
      <c r="B45" s="219" t="s">
        <v>511</v>
      </c>
      <c r="C45" s="220"/>
      <c r="D45" s="220"/>
      <c r="E45" s="220"/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1"/>
      <c r="Q45" s="60">
        <f>SUM(Q37:Q44)</f>
        <v>4756.0939999999991</v>
      </c>
    </row>
    <row r="46" spans="2:18" x14ac:dyDescent="0.25">
      <c r="B46" s="219" t="s">
        <v>512</v>
      </c>
      <c r="C46" s="220"/>
      <c r="D46" s="220"/>
      <c r="E46" s="220"/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1"/>
      <c r="Q46" s="60">
        <f>Q45/12</f>
        <v>396.3411666666666</v>
      </c>
    </row>
    <row r="47" spans="2:18" x14ac:dyDescent="0.25">
      <c r="B47" s="219" t="s">
        <v>670</v>
      </c>
      <c r="C47" s="220"/>
      <c r="D47" s="220"/>
      <c r="E47" s="220"/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P47" s="221"/>
      <c r="Q47" s="60">
        <f>Q46/(Resumo!N11+Resumo!N12+Resumo!N13+Resumo!N14+Resumo!N15)</f>
        <v>5.0812970085470077</v>
      </c>
      <c r="R47" s="128"/>
    </row>
    <row r="49" spans="2:17" x14ac:dyDescent="0.25">
      <c r="B49" s="242" t="s">
        <v>518</v>
      </c>
      <c r="C49" s="243"/>
      <c r="D49" s="243"/>
      <c r="E49" s="243"/>
      <c r="F49" s="243"/>
      <c r="G49" s="243"/>
      <c r="H49" s="243"/>
      <c r="I49" s="243"/>
      <c r="J49" s="243"/>
      <c r="K49" s="243"/>
      <c r="L49" s="243"/>
      <c r="M49" s="243"/>
      <c r="N49" s="243"/>
      <c r="O49" s="243"/>
      <c r="P49" s="243"/>
      <c r="Q49" s="244"/>
    </row>
    <row r="50" spans="2:17" x14ac:dyDescent="0.25">
      <c r="B50" s="222" t="s">
        <v>85</v>
      </c>
      <c r="C50" s="224" t="s">
        <v>531</v>
      </c>
      <c r="D50" s="222" t="s">
        <v>537</v>
      </c>
      <c r="E50" s="225" t="s">
        <v>533</v>
      </c>
      <c r="F50" s="226"/>
      <c r="G50" s="226"/>
      <c r="H50" s="226"/>
      <c r="I50" s="227"/>
      <c r="J50" s="222" t="s">
        <v>32</v>
      </c>
      <c r="K50" s="222"/>
      <c r="L50" s="222"/>
      <c r="M50" s="222"/>
      <c r="N50" s="222"/>
      <c r="O50" s="222" t="s">
        <v>527</v>
      </c>
      <c r="P50" s="222" t="s">
        <v>529</v>
      </c>
      <c r="Q50" s="222" t="s">
        <v>530</v>
      </c>
    </row>
    <row r="51" spans="2:17" x14ac:dyDescent="0.25">
      <c r="B51" s="222"/>
      <c r="C51" s="224"/>
      <c r="D51" s="222"/>
      <c r="E51" s="56" t="s">
        <v>153</v>
      </c>
      <c r="F51" s="56" t="s">
        <v>154</v>
      </c>
      <c r="G51" s="56" t="s">
        <v>155</v>
      </c>
      <c r="H51" s="56" t="s">
        <v>156</v>
      </c>
      <c r="I51" s="56" t="s">
        <v>157</v>
      </c>
      <c r="J51" s="56" t="s">
        <v>135</v>
      </c>
      <c r="K51" s="56" t="s">
        <v>136</v>
      </c>
      <c r="L51" s="56" t="s">
        <v>137</v>
      </c>
      <c r="M51" s="56" t="s">
        <v>138</v>
      </c>
      <c r="N51" s="56" t="s">
        <v>139</v>
      </c>
      <c r="O51" s="222"/>
      <c r="P51" s="222"/>
      <c r="Q51" s="222"/>
    </row>
    <row r="52" spans="2:17" x14ac:dyDescent="0.25">
      <c r="B52" s="79">
        <v>5</v>
      </c>
      <c r="C52" s="113" t="s">
        <v>541</v>
      </c>
      <c r="D52" s="112" t="s">
        <v>140</v>
      </c>
      <c r="E52" s="112">
        <v>1</v>
      </c>
      <c r="F52" s="112">
        <v>1</v>
      </c>
      <c r="G52" s="112">
        <v>2</v>
      </c>
      <c r="H52" s="112">
        <v>2</v>
      </c>
      <c r="I52" s="112">
        <f t="shared" ref="I52:I57" si="11">SUM(E52:H52)</f>
        <v>6</v>
      </c>
      <c r="J52" s="116">
        <v>211.49</v>
      </c>
      <c r="K52" s="116">
        <v>248.41</v>
      </c>
      <c r="L52" s="116">
        <v>274.83999999999997</v>
      </c>
      <c r="M52" s="116">
        <v>257.58</v>
      </c>
      <c r="N52" s="116">
        <v>314.11</v>
      </c>
      <c r="O52" s="116">
        <f t="shared" ref="O52" si="12">ROUND(AVERAGE(J52:N52),2)</f>
        <v>261.29000000000002</v>
      </c>
      <c r="P52" s="77">
        <v>120</v>
      </c>
      <c r="Q52" s="58">
        <f>(O52*I52)/(P52/12)</f>
        <v>156.77400000000003</v>
      </c>
    </row>
    <row r="53" spans="2:17" x14ac:dyDescent="0.25">
      <c r="B53" s="228">
        <v>6</v>
      </c>
      <c r="C53" s="230" t="s">
        <v>542</v>
      </c>
      <c r="D53" s="232" t="s">
        <v>140</v>
      </c>
      <c r="E53" s="232">
        <v>1</v>
      </c>
      <c r="F53" s="232">
        <v>1</v>
      </c>
      <c r="G53" s="232">
        <v>8</v>
      </c>
      <c r="H53" s="232">
        <v>12</v>
      </c>
      <c r="I53" s="232">
        <f t="shared" si="11"/>
        <v>22</v>
      </c>
      <c r="J53" s="116">
        <v>92.71</v>
      </c>
      <c r="K53" s="116">
        <v>125.23</v>
      </c>
      <c r="L53" s="116">
        <v>74.39</v>
      </c>
      <c r="M53" s="116">
        <v>94.35</v>
      </c>
      <c r="N53" s="116">
        <v>94.25</v>
      </c>
      <c r="O53" s="234">
        <f>ROUND(AVERAGE(J53:N53)+AVERAGE(J54:N54),2)</f>
        <v>364.12</v>
      </c>
      <c r="P53" s="236">
        <v>120</v>
      </c>
      <c r="Q53" s="238">
        <f>(O53*I53)/(P53/12)</f>
        <v>801.06400000000008</v>
      </c>
    </row>
    <row r="54" spans="2:17" x14ac:dyDescent="0.25">
      <c r="B54" s="229"/>
      <c r="C54" s="231"/>
      <c r="D54" s="233"/>
      <c r="E54" s="233"/>
      <c r="F54" s="233"/>
      <c r="G54" s="233"/>
      <c r="H54" s="233"/>
      <c r="I54" s="233"/>
      <c r="J54" s="116">
        <v>233.41</v>
      </c>
      <c r="K54" s="116">
        <v>103.54</v>
      </c>
      <c r="L54" s="116">
        <v>362.24</v>
      </c>
      <c r="M54" s="116">
        <v>317.08999999999997</v>
      </c>
      <c r="N54" s="116">
        <v>323.38</v>
      </c>
      <c r="O54" s="235"/>
      <c r="P54" s="237"/>
      <c r="Q54" s="239"/>
    </row>
    <row r="55" spans="2:17" x14ac:dyDescent="0.25">
      <c r="B55" s="79">
        <v>11</v>
      </c>
      <c r="C55" s="113" t="s">
        <v>540</v>
      </c>
      <c r="D55" s="112" t="s">
        <v>144</v>
      </c>
      <c r="E55" s="112">
        <v>1</v>
      </c>
      <c r="F55" s="112">
        <v>1</v>
      </c>
      <c r="G55" s="112">
        <v>2</v>
      </c>
      <c r="H55" s="112">
        <v>3</v>
      </c>
      <c r="I55" s="112">
        <f t="shared" si="11"/>
        <v>7</v>
      </c>
      <c r="J55" s="116">
        <v>1238.21</v>
      </c>
      <c r="K55" s="116">
        <v>1995</v>
      </c>
      <c r="L55" s="116">
        <v>1264</v>
      </c>
      <c r="M55" s="116">
        <v>1968.43</v>
      </c>
      <c r="N55" s="116">
        <v>1655.56</v>
      </c>
      <c r="O55" s="116">
        <f>ROUND(AVERAGE(J55:N55),2)</f>
        <v>1624.24</v>
      </c>
      <c r="P55" s="77">
        <v>120</v>
      </c>
      <c r="Q55" s="58">
        <f>(O55*I55)/(P55/12)</f>
        <v>1136.9680000000001</v>
      </c>
    </row>
    <row r="56" spans="2:17" x14ac:dyDescent="0.25">
      <c r="B56" s="79">
        <v>12</v>
      </c>
      <c r="C56" s="113" t="s">
        <v>167</v>
      </c>
      <c r="D56" s="112" t="s">
        <v>140</v>
      </c>
      <c r="E56" s="112">
        <v>5</v>
      </c>
      <c r="F56" s="112">
        <v>5</v>
      </c>
      <c r="G56" s="112">
        <v>10</v>
      </c>
      <c r="H56" s="112">
        <v>10</v>
      </c>
      <c r="I56" s="112">
        <f t="shared" si="11"/>
        <v>30</v>
      </c>
      <c r="J56" s="116">
        <v>59</v>
      </c>
      <c r="K56" s="116">
        <v>35.4</v>
      </c>
      <c r="L56" s="116">
        <v>33.1</v>
      </c>
      <c r="M56" s="116">
        <v>33.1</v>
      </c>
      <c r="N56" s="116">
        <v>43.3</v>
      </c>
      <c r="O56" s="116">
        <f t="shared" ref="O56:O57" si="13">ROUND(AVERAGE(J56:N56),2)</f>
        <v>40.78</v>
      </c>
      <c r="P56" s="77">
        <v>240</v>
      </c>
      <c r="Q56" s="58">
        <f>(O56*I56)/(P56/12)</f>
        <v>61.17</v>
      </c>
    </row>
    <row r="57" spans="2:17" x14ac:dyDescent="0.25">
      <c r="B57" s="79">
        <v>13</v>
      </c>
      <c r="C57" s="113" t="s">
        <v>166</v>
      </c>
      <c r="D57" s="112" t="s">
        <v>140</v>
      </c>
      <c r="E57" s="112">
        <v>1</v>
      </c>
      <c r="F57" s="112">
        <v>1</v>
      </c>
      <c r="G57" s="112">
        <v>2</v>
      </c>
      <c r="H57" s="112">
        <v>3</v>
      </c>
      <c r="I57" s="112">
        <f t="shared" si="11"/>
        <v>7</v>
      </c>
      <c r="J57" s="116">
        <v>1500</v>
      </c>
      <c r="K57" s="116">
        <v>1421</v>
      </c>
      <c r="L57" s="116">
        <v>5950</v>
      </c>
      <c r="M57" s="116">
        <v>2642.22</v>
      </c>
      <c r="N57" s="116">
        <v>2000</v>
      </c>
      <c r="O57" s="116">
        <f t="shared" si="13"/>
        <v>2702.64</v>
      </c>
      <c r="P57" s="77">
        <v>240</v>
      </c>
      <c r="Q57" s="58">
        <f>(O57*I57)/(P57/12)</f>
        <v>945.92399999999998</v>
      </c>
    </row>
    <row r="58" spans="2:17" x14ac:dyDescent="0.25">
      <c r="B58" s="219" t="s">
        <v>511</v>
      </c>
      <c r="C58" s="220"/>
      <c r="D58" s="220"/>
      <c r="E58" s="220"/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1"/>
      <c r="Q58" s="60">
        <f>SUM(Q52:Q57)</f>
        <v>3101.9</v>
      </c>
    </row>
    <row r="59" spans="2:17" ht="15" customHeight="1" x14ac:dyDescent="0.25">
      <c r="B59" s="219" t="s">
        <v>512</v>
      </c>
      <c r="C59" s="220"/>
      <c r="D59" s="220"/>
      <c r="E59" s="220"/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1"/>
      <c r="Q59" s="60">
        <f>Q58/12</f>
        <v>258.49166666666667</v>
      </c>
    </row>
    <row r="60" spans="2:17" ht="15" customHeight="1" x14ac:dyDescent="0.25">
      <c r="B60" s="219" t="s">
        <v>671</v>
      </c>
      <c r="C60" s="220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1"/>
      <c r="Q60" s="60">
        <f>Q59/(Resumo!N11+Resumo!N12)</f>
        <v>9.2318452380952376</v>
      </c>
    </row>
    <row r="63" spans="2:17" ht="15.75" customHeight="1" x14ac:dyDescent="0.25"/>
    <row r="64" spans="2:17" ht="15.75" customHeight="1" x14ac:dyDescent="0.25"/>
  </sheetData>
  <mergeCells count="75">
    <mergeCell ref="B34:Q34"/>
    <mergeCell ref="B49:Q49"/>
    <mergeCell ref="B58:P58"/>
    <mergeCell ref="B59:P59"/>
    <mergeCell ref="B45:P45"/>
    <mergeCell ref="B46:P46"/>
    <mergeCell ref="B47:P47"/>
    <mergeCell ref="Q35:Q36"/>
    <mergeCell ref="B35:B36"/>
    <mergeCell ref="B50:B51"/>
    <mergeCell ref="C50:C51"/>
    <mergeCell ref="D50:D51"/>
    <mergeCell ref="E50:I50"/>
    <mergeCell ref="J50:N50"/>
    <mergeCell ref="O50:O51"/>
    <mergeCell ref="P35:P36"/>
    <mergeCell ref="A13:N13"/>
    <mergeCell ref="A4:A5"/>
    <mergeCell ref="A12:N12"/>
    <mergeCell ref="A2:O2"/>
    <mergeCell ref="A3:O3"/>
    <mergeCell ref="B4:B5"/>
    <mergeCell ref="C4:C5"/>
    <mergeCell ref="D4:D5"/>
    <mergeCell ref="E4:E5"/>
    <mergeCell ref="F4:F5"/>
    <mergeCell ref="G4:G5"/>
    <mergeCell ref="H4:H5"/>
    <mergeCell ref="I4:M4"/>
    <mergeCell ref="N4:N5"/>
    <mergeCell ref="O4:O5"/>
    <mergeCell ref="P27:P28"/>
    <mergeCell ref="A23:N23"/>
    <mergeCell ref="A14:O14"/>
    <mergeCell ref="A15:A16"/>
    <mergeCell ref="B15:B16"/>
    <mergeCell ref="C15:C16"/>
    <mergeCell ref="D15:D16"/>
    <mergeCell ref="E15:E16"/>
    <mergeCell ref="F15:F16"/>
    <mergeCell ref="G15:G16"/>
    <mergeCell ref="H15:H16"/>
    <mergeCell ref="I15:M15"/>
    <mergeCell ref="C27:C28"/>
    <mergeCell ref="D27:D28"/>
    <mergeCell ref="E27:I27"/>
    <mergeCell ref="B26:P26"/>
    <mergeCell ref="B60:P60"/>
    <mergeCell ref="P50:P51"/>
    <mergeCell ref="Q50:Q51"/>
    <mergeCell ref="B53:B54"/>
    <mergeCell ref="C53:C54"/>
    <mergeCell ref="D53:D54"/>
    <mergeCell ref="E53:E54"/>
    <mergeCell ref="F53:F54"/>
    <mergeCell ref="G53:G54"/>
    <mergeCell ref="H53:H54"/>
    <mergeCell ref="I53:I54"/>
    <mergeCell ref="O53:O54"/>
    <mergeCell ref="P53:P54"/>
    <mergeCell ref="Q53:Q54"/>
    <mergeCell ref="C35:C36"/>
    <mergeCell ref="D35:D36"/>
    <mergeCell ref="E35:I35"/>
    <mergeCell ref="J35:N35"/>
    <mergeCell ref="O35:O36"/>
    <mergeCell ref="B30:O30"/>
    <mergeCell ref="B31:O31"/>
    <mergeCell ref="B32:O32"/>
    <mergeCell ref="O15:O16"/>
    <mergeCell ref="A24:N24"/>
    <mergeCell ref="B27:B28"/>
    <mergeCell ref="N15:N16"/>
    <mergeCell ref="J27:N27"/>
    <mergeCell ref="O27:O28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A9065-6C27-4B58-A6D8-C09B1B6A6FA0}">
  <dimension ref="A1:N172"/>
  <sheetViews>
    <sheetView zoomScale="90" zoomScaleNormal="90" workbookViewId="0">
      <selection activeCell="F37" sqref="F37"/>
    </sheetView>
  </sheetViews>
  <sheetFormatPr defaultRowHeight="14.25" customHeight="1" x14ac:dyDescent="0.25"/>
  <cols>
    <col min="1" max="2" width="9.140625" style="86"/>
    <col min="3" max="3" width="13.42578125" style="86" customWidth="1"/>
    <col min="4" max="5" width="11.85546875" style="86" bestFit="1" customWidth="1"/>
    <col min="6" max="6" width="57.7109375" style="53" bestFit="1" customWidth="1"/>
    <col min="7" max="7" width="21.42578125" style="86" customWidth="1"/>
    <col min="8" max="8" width="44.28515625" style="86" bestFit="1" customWidth="1"/>
    <col min="9" max="9" width="15.28515625" style="53" bestFit="1" customWidth="1"/>
    <col min="10" max="10" width="56.7109375" style="53" customWidth="1"/>
    <col min="11" max="11" width="64.140625" style="53" customWidth="1"/>
    <col min="12" max="12" width="12.85546875" style="40" bestFit="1" customWidth="1"/>
    <col min="13" max="13" width="9.5703125" style="86" bestFit="1" customWidth="1"/>
    <col min="14" max="16384" width="9.140625" style="86"/>
  </cols>
  <sheetData>
    <row r="1" spans="1:12" ht="14.25" customHeight="1" x14ac:dyDescent="0.25">
      <c r="B1" s="259" t="s">
        <v>134</v>
      </c>
      <c r="C1" s="61" t="s">
        <v>168</v>
      </c>
      <c r="D1" s="159" t="s">
        <v>169</v>
      </c>
      <c r="E1" s="159"/>
      <c r="F1" s="257" t="s">
        <v>170</v>
      </c>
      <c r="G1" s="259" t="s">
        <v>171</v>
      </c>
      <c r="H1" s="259" t="s">
        <v>172</v>
      </c>
      <c r="I1" s="257" t="s">
        <v>173</v>
      </c>
      <c r="J1" s="257" t="s">
        <v>174</v>
      </c>
      <c r="K1" s="257" t="s">
        <v>175</v>
      </c>
      <c r="L1" s="258" t="s">
        <v>176</v>
      </c>
    </row>
    <row r="2" spans="1:12" ht="14.25" customHeight="1" x14ac:dyDescent="0.25">
      <c r="B2" s="259"/>
      <c r="C2" s="61"/>
      <c r="D2" s="4" t="s">
        <v>177</v>
      </c>
      <c r="E2" s="4" t="s">
        <v>178</v>
      </c>
      <c r="F2" s="257"/>
      <c r="G2" s="259"/>
      <c r="H2" s="259"/>
      <c r="I2" s="257"/>
      <c r="J2" s="257"/>
      <c r="K2" s="257"/>
      <c r="L2" s="258"/>
    </row>
    <row r="3" spans="1:12" ht="14.25" customHeight="1" x14ac:dyDescent="0.25">
      <c r="A3" s="255" t="s">
        <v>145</v>
      </c>
      <c r="B3" s="248" t="s">
        <v>179</v>
      </c>
      <c r="C3" s="51">
        <v>1</v>
      </c>
      <c r="D3" s="66">
        <v>45810</v>
      </c>
      <c r="E3" s="66">
        <v>46175</v>
      </c>
      <c r="F3" s="62" t="s">
        <v>180</v>
      </c>
      <c r="G3" s="117" t="s">
        <v>181</v>
      </c>
      <c r="H3" s="118" t="s">
        <v>182</v>
      </c>
      <c r="I3" s="119" t="s">
        <v>183</v>
      </c>
      <c r="J3" s="120" t="s">
        <v>184</v>
      </c>
      <c r="K3" s="120" t="s">
        <v>185</v>
      </c>
      <c r="L3" s="58">
        <v>170</v>
      </c>
    </row>
    <row r="4" spans="1:12" ht="14.25" customHeight="1" x14ac:dyDescent="0.25">
      <c r="A4" s="256"/>
      <c r="B4" s="248"/>
      <c r="C4" s="51">
        <v>2</v>
      </c>
      <c r="D4" s="66">
        <v>45779</v>
      </c>
      <c r="E4" s="66">
        <v>46144</v>
      </c>
      <c r="F4" s="62" t="s">
        <v>186</v>
      </c>
      <c r="G4" s="117" t="s">
        <v>187</v>
      </c>
      <c r="H4" s="118" t="s">
        <v>188</v>
      </c>
      <c r="I4" s="119" t="s">
        <v>189</v>
      </c>
      <c r="J4" s="120" t="s">
        <v>190</v>
      </c>
      <c r="K4" s="120" t="s">
        <v>185</v>
      </c>
      <c r="L4" s="58">
        <v>235</v>
      </c>
    </row>
    <row r="5" spans="1:12" ht="14.25" customHeight="1" x14ac:dyDescent="0.25">
      <c r="A5" s="256"/>
      <c r="B5" s="248"/>
      <c r="C5" s="51">
        <v>3</v>
      </c>
      <c r="D5" s="66">
        <v>45714</v>
      </c>
      <c r="E5" s="66">
        <v>46079</v>
      </c>
      <c r="F5" s="62" t="s">
        <v>191</v>
      </c>
      <c r="G5" s="117" t="s">
        <v>192</v>
      </c>
      <c r="H5" s="118" t="s">
        <v>193</v>
      </c>
      <c r="I5" s="119" t="s">
        <v>194</v>
      </c>
      <c r="J5" s="120" t="s">
        <v>195</v>
      </c>
      <c r="K5" s="120" t="s">
        <v>196</v>
      </c>
      <c r="L5" s="58">
        <v>220</v>
      </c>
    </row>
    <row r="6" spans="1:12" ht="14.25" customHeight="1" x14ac:dyDescent="0.25">
      <c r="A6" s="256"/>
      <c r="B6" s="248"/>
      <c r="C6" s="51">
        <v>4</v>
      </c>
      <c r="D6" s="66">
        <v>45630</v>
      </c>
      <c r="E6" s="66">
        <v>45995</v>
      </c>
      <c r="F6" s="62" t="s">
        <v>197</v>
      </c>
      <c r="G6" s="117" t="s">
        <v>198</v>
      </c>
      <c r="H6" s="118" t="s">
        <v>199</v>
      </c>
      <c r="I6" s="119" t="s">
        <v>200</v>
      </c>
      <c r="J6" s="120" t="s">
        <v>201</v>
      </c>
      <c r="K6" s="120" t="s">
        <v>202</v>
      </c>
      <c r="L6" s="58">
        <v>115.5</v>
      </c>
    </row>
    <row r="7" spans="1:12" ht="14.25" customHeight="1" x14ac:dyDescent="0.25">
      <c r="A7" s="256"/>
      <c r="B7" s="248"/>
      <c r="C7" s="51">
        <v>5</v>
      </c>
      <c r="D7" s="66">
        <v>45776</v>
      </c>
      <c r="E7" s="66">
        <v>46141</v>
      </c>
      <c r="F7" s="62" t="s">
        <v>203</v>
      </c>
      <c r="G7" s="117" t="s">
        <v>204</v>
      </c>
      <c r="H7" s="118" t="s">
        <v>205</v>
      </c>
      <c r="I7" s="119" t="s">
        <v>206</v>
      </c>
      <c r="J7" s="120" t="s">
        <v>207</v>
      </c>
      <c r="K7" s="120" t="s">
        <v>208</v>
      </c>
      <c r="L7" s="58">
        <v>124</v>
      </c>
    </row>
    <row r="8" spans="1:12" ht="14.25" customHeight="1" x14ac:dyDescent="0.25">
      <c r="A8" s="256"/>
      <c r="B8" s="248" t="s">
        <v>209</v>
      </c>
      <c r="C8" s="51">
        <v>1</v>
      </c>
      <c r="D8" s="66">
        <v>45723</v>
      </c>
      <c r="E8" s="66">
        <v>46088</v>
      </c>
      <c r="F8" s="62" t="s">
        <v>210</v>
      </c>
      <c r="G8" s="117" t="s">
        <v>211</v>
      </c>
      <c r="H8" s="118" t="s">
        <v>212</v>
      </c>
      <c r="I8" s="119" t="s">
        <v>213</v>
      </c>
      <c r="J8" s="120" t="s">
        <v>214</v>
      </c>
      <c r="K8" s="120" t="s">
        <v>215</v>
      </c>
      <c r="L8" s="58">
        <v>94.9</v>
      </c>
    </row>
    <row r="9" spans="1:12" ht="14.25" customHeight="1" x14ac:dyDescent="0.25">
      <c r="A9" s="256"/>
      <c r="B9" s="248"/>
      <c r="C9" s="51">
        <v>2</v>
      </c>
      <c r="D9" s="66">
        <v>45723</v>
      </c>
      <c r="E9" s="66">
        <v>46088</v>
      </c>
      <c r="F9" s="62" t="s">
        <v>210</v>
      </c>
      <c r="G9" s="117" t="s">
        <v>211</v>
      </c>
      <c r="H9" s="118" t="s">
        <v>212</v>
      </c>
      <c r="I9" s="119" t="s">
        <v>213</v>
      </c>
      <c r="J9" s="120" t="s">
        <v>214</v>
      </c>
      <c r="K9" s="120" t="s">
        <v>216</v>
      </c>
      <c r="L9" s="58">
        <v>104.9</v>
      </c>
    </row>
    <row r="10" spans="1:12" ht="14.25" customHeight="1" x14ac:dyDescent="0.25">
      <c r="A10" s="256"/>
      <c r="B10" s="248"/>
      <c r="C10" s="51">
        <v>3</v>
      </c>
      <c r="D10" s="66">
        <v>45532</v>
      </c>
      <c r="E10" s="66">
        <v>45897</v>
      </c>
      <c r="F10" s="62" t="s">
        <v>217</v>
      </c>
      <c r="G10" s="117" t="s">
        <v>218</v>
      </c>
      <c r="H10" s="118" t="s">
        <v>219</v>
      </c>
      <c r="I10" s="119" t="s">
        <v>220</v>
      </c>
      <c r="J10" s="120" t="s">
        <v>221</v>
      </c>
      <c r="K10" s="120" t="s">
        <v>222</v>
      </c>
      <c r="L10" s="58">
        <v>74.650000000000006</v>
      </c>
    </row>
    <row r="11" spans="1:12" ht="14.25" customHeight="1" x14ac:dyDescent="0.25">
      <c r="A11" s="256"/>
      <c r="B11" s="248"/>
      <c r="C11" s="51">
        <v>4</v>
      </c>
      <c r="D11" s="66">
        <v>45433</v>
      </c>
      <c r="E11" s="66">
        <v>45798</v>
      </c>
      <c r="F11" s="62" t="s">
        <v>223</v>
      </c>
      <c r="G11" s="117" t="s">
        <v>224</v>
      </c>
      <c r="H11" s="118" t="s">
        <v>225</v>
      </c>
      <c r="I11" s="119" t="s">
        <v>226</v>
      </c>
      <c r="J11" s="120" t="s">
        <v>227</v>
      </c>
      <c r="K11" s="120" t="s">
        <v>228</v>
      </c>
      <c r="L11" s="58">
        <v>72.989999999999995</v>
      </c>
    </row>
    <row r="12" spans="1:12" ht="14.25" customHeight="1" x14ac:dyDescent="0.25">
      <c r="A12" s="256"/>
      <c r="B12" s="248"/>
      <c r="C12" s="51">
        <v>5</v>
      </c>
      <c r="D12" s="66">
        <v>45457</v>
      </c>
      <c r="E12" s="66">
        <v>45822</v>
      </c>
      <c r="F12" s="62" t="s">
        <v>229</v>
      </c>
      <c r="G12" s="117" t="s">
        <v>230</v>
      </c>
      <c r="H12" s="118" t="s">
        <v>231</v>
      </c>
      <c r="I12" s="119" t="s">
        <v>232</v>
      </c>
      <c r="J12" s="120" t="s">
        <v>233</v>
      </c>
      <c r="K12" s="120" t="s">
        <v>234</v>
      </c>
      <c r="L12" s="58">
        <v>69.099999999999994</v>
      </c>
    </row>
    <row r="13" spans="1:12" ht="14.25" customHeight="1" x14ac:dyDescent="0.25">
      <c r="A13" s="256"/>
      <c r="B13" s="248" t="s">
        <v>235</v>
      </c>
      <c r="C13" s="51">
        <v>1</v>
      </c>
      <c r="D13" s="66">
        <v>45701</v>
      </c>
      <c r="E13" s="66">
        <f t="shared" ref="E13:E22" si="0">D13+365</f>
        <v>46066</v>
      </c>
      <c r="F13" s="62" t="s">
        <v>236</v>
      </c>
      <c r="G13" s="117" t="s">
        <v>237</v>
      </c>
      <c r="H13" s="118" t="s">
        <v>238</v>
      </c>
      <c r="I13" s="119" t="s">
        <v>239</v>
      </c>
      <c r="J13" s="119" t="s">
        <v>240</v>
      </c>
      <c r="K13" s="119" t="s">
        <v>241</v>
      </c>
      <c r="L13" s="58">
        <v>29.9</v>
      </c>
    </row>
    <row r="14" spans="1:12" ht="14.25" customHeight="1" x14ac:dyDescent="0.25">
      <c r="A14" s="256"/>
      <c r="B14" s="248"/>
      <c r="C14" s="51">
        <v>2</v>
      </c>
      <c r="D14" s="66">
        <v>45608</v>
      </c>
      <c r="E14" s="66">
        <f t="shared" si="0"/>
        <v>45973</v>
      </c>
      <c r="F14" s="62" t="s">
        <v>242</v>
      </c>
      <c r="G14" s="117" t="s">
        <v>243</v>
      </c>
      <c r="H14" s="118" t="s">
        <v>244</v>
      </c>
      <c r="I14" s="119" t="s">
        <v>245</v>
      </c>
      <c r="J14" s="119" t="s">
        <v>246</v>
      </c>
      <c r="K14" s="119" t="s">
        <v>247</v>
      </c>
      <c r="L14" s="58">
        <v>25</v>
      </c>
    </row>
    <row r="15" spans="1:12" ht="14.25" customHeight="1" x14ac:dyDescent="0.25">
      <c r="A15" s="256"/>
      <c r="B15" s="248"/>
      <c r="C15" s="51">
        <v>3</v>
      </c>
      <c r="D15" s="66">
        <v>45644</v>
      </c>
      <c r="E15" s="66">
        <f t="shared" si="0"/>
        <v>46009</v>
      </c>
      <c r="F15" s="62" t="s">
        <v>248</v>
      </c>
      <c r="G15" s="117" t="s">
        <v>249</v>
      </c>
      <c r="H15" s="118" t="s">
        <v>250</v>
      </c>
      <c r="I15" s="119" t="s">
        <v>251</v>
      </c>
      <c r="J15" s="62" t="s">
        <v>252</v>
      </c>
      <c r="K15" s="119" t="s">
        <v>253</v>
      </c>
      <c r="L15" s="58">
        <v>30</v>
      </c>
    </row>
    <row r="16" spans="1:12" ht="14.25" customHeight="1" x14ac:dyDescent="0.25">
      <c r="A16" s="256"/>
      <c r="B16" s="248"/>
      <c r="C16" s="51">
        <v>4</v>
      </c>
      <c r="D16" s="66">
        <v>45504</v>
      </c>
      <c r="E16" s="66">
        <f t="shared" si="0"/>
        <v>45869</v>
      </c>
      <c r="F16" s="62" t="s">
        <v>254</v>
      </c>
      <c r="G16" s="117" t="s">
        <v>255</v>
      </c>
      <c r="H16" s="118" t="s">
        <v>256</v>
      </c>
      <c r="I16" s="119" t="s">
        <v>257</v>
      </c>
      <c r="J16" s="119" t="s">
        <v>258</v>
      </c>
      <c r="K16" s="119" t="s">
        <v>259</v>
      </c>
      <c r="L16" s="58">
        <v>22.61</v>
      </c>
    </row>
    <row r="17" spans="1:12" ht="14.25" customHeight="1" x14ac:dyDescent="0.25">
      <c r="A17" s="256"/>
      <c r="B17" s="248"/>
      <c r="C17" s="51">
        <v>5</v>
      </c>
      <c r="D17" s="66">
        <v>45475</v>
      </c>
      <c r="E17" s="66">
        <f t="shared" si="0"/>
        <v>45840</v>
      </c>
      <c r="F17" s="62" t="s">
        <v>254</v>
      </c>
      <c r="G17" s="117" t="s">
        <v>255</v>
      </c>
      <c r="H17" s="118" t="s">
        <v>256</v>
      </c>
      <c r="I17" s="119" t="s">
        <v>257</v>
      </c>
      <c r="J17" s="119" t="s">
        <v>260</v>
      </c>
      <c r="K17" s="119" t="s">
        <v>261</v>
      </c>
      <c r="L17" s="58">
        <v>22.61</v>
      </c>
    </row>
    <row r="18" spans="1:12" ht="14.25" customHeight="1" x14ac:dyDescent="0.25">
      <c r="A18" s="256"/>
      <c r="B18" s="248" t="s">
        <v>262</v>
      </c>
      <c r="C18" s="51">
        <v>1</v>
      </c>
      <c r="D18" s="66">
        <v>45701</v>
      </c>
      <c r="E18" s="66">
        <f t="shared" si="0"/>
        <v>46066</v>
      </c>
      <c r="F18" s="62" t="s">
        <v>263</v>
      </c>
      <c r="G18" s="117" t="s">
        <v>264</v>
      </c>
      <c r="H18" s="118" t="s">
        <v>265</v>
      </c>
      <c r="I18" s="119" t="s">
        <v>266</v>
      </c>
      <c r="J18" s="62" t="s">
        <v>267</v>
      </c>
      <c r="K18" s="119" t="s">
        <v>268</v>
      </c>
      <c r="L18" s="58">
        <v>11.5</v>
      </c>
    </row>
    <row r="19" spans="1:12" ht="14.25" customHeight="1" x14ac:dyDescent="0.25">
      <c r="A19" s="256"/>
      <c r="B19" s="248"/>
      <c r="C19" s="51">
        <v>2</v>
      </c>
      <c r="D19" s="66">
        <v>45701</v>
      </c>
      <c r="E19" s="66">
        <f t="shared" si="0"/>
        <v>46066</v>
      </c>
      <c r="F19" s="62" t="s">
        <v>263</v>
      </c>
      <c r="G19" s="117" t="s">
        <v>264</v>
      </c>
      <c r="H19" s="118" t="s">
        <v>265</v>
      </c>
      <c r="I19" s="119" t="s">
        <v>266</v>
      </c>
      <c r="J19" s="62" t="s">
        <v>267</v>
      </c>
      <c r="K19" s="119" t="s">
        <v>269</v>
      </c>
      <c r="L19" s="58">
        <v>10.45</v>
      </c>
    </row>
    <row r="20" spans="1:12" ht="14.25" customHeight="1" x14ac:dyDescent="0.25">
      <c r="A20" s="256"/>
      <c r="B20" s="248"/>
      <c r="C20" s="51">
        <v>3</v>
      </c>
      <c r="D20" s="66">
        <v>45701</v>
      </c>
      <c r="E20" s="66">
        <f t="shared" si="0"/>
        <v>46066</v>
      </c>
      <c r="F20" s="62" t="s">
        <v>263</v>
      </c>
      <c r="G20" s="117" t="s">
        <v>264</v>
      </c>
      <c r="H20" s="118" t="s">
        <v>265</v>
      </c>
      <c r="I20" s="119" t="s">
        <v>266</v>
      </c>
      <c r="J20" s="62" t="s">
        <v>267</v>
      </c>
      <c r="K20" s="119" t="s">
        <v>270</v>
      </c>
      <c r="L20" s="58">
        <v>9.8000000000000007</v>
      </c>
    </row>
    <row r="21" spans="1:12" ht="14.25" customHeight="1" x14ac:dyDescent="0.25">
      <c r="A21" s="256"/>
      <c r="B21" s="248"/>
      <c r="C21" s="51">
        <v>4</v>
      </c>
      <c r="D21" s="66">
        <v>45699</v>
      </c>
      <c r="E21" s="66">
        <f t="shared" si="0"/>
        <v>46064</v>
      </c>
      <c r="F21" s="62" t="s">
        <v>271</v>
      </c>
      <c r="G21" s="117" t="s">
        <v>272</v>
      </c>
      <c r="H21" s="118" t="s">
        <v>273</v>
      </c>
      <c r="I21" s="119" t="s">
        <v>274</v>
      </c>
      <c r="J21" s="119" t="s">
        <v>275</v>
      </c>
      <c r="K21" s="119" t="s">
        <v>276</v>
      </c>
      <c r="L21" s="58">
        <v>10.85</v>
      </c>
    </row>
    <row r="22" spans="1:12" ht="14.25" customHeight="1" x14ac:dyDescent="0.25">
      <c r="A22" s="256"/>
      <c r="B22" s="248"/>
      <c r="C22" s="51">
        <v>5</v>
      </c>
      <c r="D22" s="66">
        <v>45615</v>
      </c>
      <c r="E22" s="66">
        <f t="shared" si="0"/>
        <v>45980</v>
      </c>
      <c r="F22" s="62" t="s">
        <v>277</v>
      </c>
      <c r="G22" s="117" t="s">
        <v>278</v>
      </c>
      <c r="H22" s="118" t="s">
        <v>279</v>
      </c>
      <c r="I22" s="119" t="s">
        <v>280</v>
      </c>
      <c r="J22" s="119" t="s">
        <v>281</v>
      </c>
      <c r="K22" s="119" t="s">
        <v>282</v>
      </c>
      <c r="L22" s="58">
        <v>9.8000000000000007</v>
      </c>
    </row>
    <row r="23" spans="1:12" ht="14.25" customHeight="1" x14ac:dyDescent="0.25">
      <c r="A23" s="256"/>
      <c r="B23" s="248" t="s">
        <v>283</v>
      </c>
      <c r="C23" s="51">
        <v>1</v>
      </c>
      <c r="D23" s="66">
        <v>45854</v>
      </c>
      <c r="E23" s="66">
        <v>46034</v>
      </c>
      <c r="F23" s="62" t="s">
        <v>284</v>
      </c>
      <c r="G23" s="117" t="s">
        <v>285</v>
      </c>
      <c r="H23" s="118" t="s">
        <v>286</v>
      </c>
      <c r="I23" s="119" t="s">
        <v>287</v>
      </c>
      <c r="J23" s="246" t="s">
        <v>288</v>
      </c>
      <c r="K23" s="247"/>
      <c r="L23" s="58">
        <v>153.22</v>
      </c>
    </row>
    <row r="24" spans="1:12" ht="14.25" customHeight="1" x14ac:dyDescent="0.25">
      <c r="A24" s="256"/>
      <c r="B24" s="248"/>
      <c r="C24" s="51">
        <v>2</v>
      </c>
      <c r="D24" s="66">
        <v>45854</v>
      </c>
      <c r="E24" s="66">
        <v>46034</v>
      </c>
      <c r="F24" s="62" t="s">
        <v>289</v>
      </c>
      <c r="G24" s="117" t="s">
        <v>290</v>
      </c>
      <c r="H24" s="118" t="s">
        <v>291</v>
      </c>
      <c r="I24" s="119" t="s">
        <v>292</v>
      </c>
      <c r="J24" s="246" t="s">
        <v>288</v>
      </c>
      <c r="K24" s="247"/>
      <c r="L24" s="58">
        <v>133.38999999999999</v>
      </c>
    </row>
    <row r="25" spans="1:12" ht="14.25" customHeight="1" x14ac:dyDescent="0.25">
      <c r="A25" s="256"/>
      <c r="B25" s="248"/>
      <c r="C25" s="51">
        <v>3</v>
      </c>
      <c r="D25" s="66">
        <v>45854</v>
      </c>
      <c r="E25" s="66">
        <v>46034</v>
      </c>
      <c r="F25" s="62" t="s">
        <v>293</v>
      </c>
      <c r="G25" s="117" t="s">
        <v>294</v>
      </c>
      <c r="H25" s="118" t="s">
        <v>295</v>
      </c>
      <c r="I25" s="117" t="s">
        <v>296</v>
      </c>
      <c r="J25" s="246" t="s">
        <v>288</v>
      </c>
      <c r="K25" s="247"/>
      <c r="L25" s="58">
        <v>199.96</v>
      </c>
    </row>
    <row r="26" spans="1:12" ht="14.25" customHeight="1" x14ac:dyDescent="0.25">
      <c r="A26" s="256"/>
      <c r="B26" s="248"/>
      <c r="C26" s="51">
        <v>4</v>
      </c>
      <c r="D26" s="66">
        <v>45854</v>
      </c>
      <c r="E26" s="66">
        <v>46034</v>
      </c>
      <c r="F26" s="62" t="s">
        <v>297</v>
      </c>
      <c r="G26" s="117" t="s">
        <v>298</v>
      </c>
      <c r="H26" s="118" t="s">
        <v>299</v>
      </c>
      <c r="I26" s="119" t="s">
        <v>300</v>
      </c>
      <c r="J26" s="246" t="s">
        <v>288</v>
      </c>
      <c r="K26" s="247"/>
      <c r="L26" s="58">
        <v>177.38</v>
      </c>
    </row>
    <row r="27" spans="1:12" ht="14.25" customHeight="1" x14ac:dyDescent="0.25">
      <c r="A27" s="256"/>
      <c r="B27" s="248"/>
      <c r="C27" s="51">
        <v>5</v>
      </c>
      <c r="D27" s="66">
        <v>45854</v>
      </c>
      <c r="E27" s="66">
        <v>46034</v>
      </c>
      <c r="F27" s="62" t="s">
        <v>301</v>
      </c>
      <c r="G27" s="117" t="s">
        <v>302</v>
      </c>
      <c r="H27" s="118" t="s">
        <v>303</v>
      </c>
      <c r="I27" s="119" t="s">
        <v>304</v>
      </c>
      <c r="J27" s="246" t="s">
        <v>288</v>
      </c>
      <c r="K27" s="247"/>
      <c r="L27" s="58">
        <v>213.22</v>
      </c>
    </row>
    <row r="28" spans="1:12" ht="14.25" customHeight="1" x14ac:dyDescent="0.25">
      <c r="A28" s="256"/>
      <c r="B28" s="248" t="s">
        <v>305</v>
      </c>
      <c r="C28" s="51">
        <v>1</v>
      </c>
      <c r="D28" s="66">
        <v>45826</v>
      </c>
      <c r="E28" s="66">
        <v>46191</v>
      </c>
      <c r="F28" s="62" t="s">
        <v>306</v>
      </c>
      <c r="G28" s="117" t="s">
        <v>307</v>
      </c>
      <c r="H28" s="118" t="s">
        <v>308</v>
      </c>
      <c r="I28" s="119" t="s">
        <v>309</v>
      </c>
      <c r="J28" s="120" t="s">
        <v>310</v>
      </c>
      <c r="K28" s="120" t="s">
        <v>311</v>
      </c>
      <c r="L28" s="58">
        <v>60</v>
      </c>
    </row>
    <row r="29" spans="1:12" ht="14.25" customHeight="1" x14ac:dyDescent="0.25">
      <c r="A29" s="256"/>
      <c r="B29" s="248"/>
      <c r="C29" s="51">
        <v>2</v>
      </c>
      <c r="D29" s="66">
        <v>45742</v>
      </c>
      <c r="E29" s="66">
        <v>46107</v>
      </c>
      <c r="F29" s="62" t="s">
        <v>312</v>
      </c>
      <c r="G29" s="117" t="s">
        <v>313</v>
      </c>
      <c r="H29" s="118" t="s">
        <v>314</v>
      </c>
      <c r="I29" s="119" t="s">
        <v>315</v>
      </c>
      <c r="J29" s="120" t="s">
        <v>316</v>
      </c>
      <c r="K29" s="120" t="s">
        <v>317</v>
      </c>
      <c r="L29" s="58">
        <v>26</v>
      </c>
    </row>
    <row r="30" spans="1:12" ht="14.25" customHeight="1" x14ac:dyDescent="0.25">
      <c r="A30" s="256"/>
      <c r="B30" s="248"/>
      <c r="C30" s="51">
        <v>3</v>
      </c>
      <c r="D30" s="66">
        <v>45730</v>
      </c>
      <c r="E30" s="66">
        <v>46095</v>
      </c>
      <c r="F30" s="62" t="s">
        <v>318</v>
      </c>
      <c r="G30" s="117" t="s">
        <v>319</v>
      </c>
      <c r="H30" s="118" t="s">
        <v>320</v>
      </c>
      <c r="I30" s="119" t="s">
        <v>321</v>
      </c>
      <c r="J30" s="120" t="s">
        <v>240</v>
      </c>
      <c r="K30" s="120" t="s">
        <v>322</v>
      </c>
      <c r="L30" s="58">
        <v>22.9</v>
      </c>
    </row>
    <row r="31" spans="1:12" ht="14.25" customHeight="1" x14ac:dyDescent="0.25">
      <c r="A31" s="256"/>
      <c r="B31" s="248"/>
      <c r="C31" s="51">
        <v>4</v>
      </c>
      <c r="D31" s="66">
        <v>45488</v>
      </c>
      <c r="E31" s="66">
        <v>45853</v>
      </c>
      <c r="F31" s="62" t="s">
        <v>323</v>
      </c>
      <c r="G31" s="117" t="s">
        <v>324</v>
      </c>
      <c r="H31" s="118" t="s">
        <v>325</v>
      </c>
      <c r="I31" s="119" t="s">
        <v>326</v>
      </c>
      <c r="J31" s="120" t="s">
        <v>327</v>
      </c>
      <c r="K31" s="120" t="s">
        <v>328</v>
      </c>
      <c r="L31" s="58">
        <v>61</v>
      </c>
    </row>
    <row r="32" spans="1:12" ht="14.25" customHeight="1" x14ac:dyDescent="0.25">
      <c r="A32" s="256"/>
      <c r="B32" s="248"/>
      <c r="C32" s="51">
        <v>5</v>
      </c>
      <c r="D32" s="66">
        <v>45421</v>
      </c>
      <c r="E32" s="66">
        <v>45786</v>
      </c>
      <c r="F32" s="62" t="s">
        <v>223</v>
      </c>
      <c r="G32" s="117" t="s">
        <v>224</v>
      </c>
      <c r="H32" s="118" t="s">
        <v>225</v>
      </c>
      <c r="I32" s="119" t="s">
        <v>226</v>
      </c>
      <c r="J32" s="120" t="s">
        <v>329</v>
      </c>
      <c r="K32" s="120" t="s">
        <v>330</v>
      </c>
      <c r="L32" s="58">
        <v>41</v>
      </c>
    </row>
    <row r="33" spans="1:12" ht="14.25" customHeight="1" x14ac:dyDescent="0.25">
      <c r="A33" s="255" t="s">
        <v>133</v>
      </c>
      <c r="B33" s="248" t="s">
        <v>179</v>
      </c>
      <c r="C33" s="51">
        <v>1</v>
      </c>
      <c r="D33" s="66">
        <v>45810</v>
      </c>
      <c r="E33" s="66">
        <v>46175</v>
      </c>
      <c r="F33" s="62" t="s">
        <v>180</v>
      </c>
      <c r="G33" s="117" t="s">
        <v>181</v>
      </c>
      <c r="H33" s="118" t="s">
        <v>182</v>
      </c>
      <c r="I33" s="119" t="s">
        <v>183</v>
      </c>
      <c r="J33" s="120" t="s">
        <v>184</v>
      </c>
      <c r="K33" s="120" t="s">
        <v>185</v>
      </c>
      <c r="L33" s="58">
        <v>170</v>
      </c>
    </row>
    <row r="34" spans="1:12" ht="14.25" customHeight="1" x14ac:dyDescent="0.25">
      <c r="A34" s="256"/>
      <c r="B34" s="248"/>
      <c r="C34" s="51">
        <v>2</v>
      </c>
      <c r="D34" s="66">
        <v>45779</v>
      </c>
      <c r="E34" s="66">
        <v>46144</v>
      </c>
      <c r="F34" s="62" t="s">
        <v>186</v>
      </c>
      <c r="G34" s="117" t="s">
        <v>187</v>
      </c>
      <c r="H34" s="118" t="s">
        <v>188</v>
      </c>
      <c r="I34" s="119" t="s">
        <v>189</v>
      </c>
      <c r="J34" s="120" t="s">
        <v>190</v>
      </c>
      <c r="K34" s="120" t="s">
        <v>185</v>
      </c>
      <c r="L34" s="58">
        <v>235</v>
      </c>
    </row>
    <row r="35" spans="1:12" ht="14.25" customHeight="1" x14ac:dyDescent="0.25">
      <c r="A35" s="256"/>
      <c r="B35" s="248"/>
      <c r="C35" s="51">
        <v>3</v>
      </c>
      <c r="D35" s="66">
        <v>45714</v>
      </c>
      <c r="E35" s="66">
        <v>46079</v>
      </c>
      <c r="F35" s="62" t="s">
        <v>191</v>
      </c>
      <c r="G35" s="117" t="s">
        <v>192</v>
      </c>
      <c r="H35" s="118" t="s">
        <v>193</v>
      </c>
      <c r="I35" s="119" t="s">
        <v>194</v>
      </c>
      <c r="J35" s="120" t="s">
        <v>195</v>
      </c>
      <c r="K35" s="120" t="s">
        <v>196</v>
      </c>
      <c r="L35" s="58">
        <v>220</v>
      </c>
    </row>
    <row r="36" spans="1:12" ht="14.25" customHeight="1" x14ac:dyDescent="0.25">
      <c r="A36" s="256"/>
      <c r="B36" s="248"/>
      <c r="C36" s="51">
        <v>4</v>
      </c>
      <c r="D36" s="66">
        <v>45630</v>
      </c>
      <c r="E36" s="66">
        <v>45995</v>
      </c>
      <c r="F36" s="62" t="s">
        <v>197</v>
      </c>
      <c r="G36" s="117" t="s">
        <v>198</v>
      </c>
      <c r="H36" s="118" t="s">
        <v>199</v>
      </c>
      <c r="I36" s="119" t="s">
        <v>200</v>
      </c>
      <c r="J36" s="120" t="s">
        <v>201</v>
      </c>
      <c r="K36" s="120" t="s">
        <v>202</v>
      </c>
      <c r="L36" s="58">
        <v>115.5</v>
      </c>
    </row>
    <row r="37" spans="1:12" ht="14.25" customHeight="1" x14ac:dyDescent="0.25">
      <c r="A37" s="256"/>
      <c r="B37" s="248"/>
      <c r="C37" s="51">
        <v>5</v>
      </c>
      <c r="D37" s="66">
        <v>45776</v>
      </c>
      <c r="E37" s="66">
        <v>46141</v>
      </c>
      <c r="F37" s="62" t="s">
        <v>203</v>
      </c>
      <c r="G37" s="117" t="s">
        <v>204</v>
      </c>
      <c r="H37" s="118" t="s">
        <v>205</v>
      </c>
      <c r="I37" s="119" t="s">
        <v>206</v>
      </c>
      <c r="J37" s="120" t="s">
        <v>207</v>
      </c>
      <c r="K37" s="120" t="s">
        <v>208</v>
      </c>
      <c r="L37" s="58">
        <v>124</v>
      </c>
    </row>
    <row r="38" spans="1:12" ht="14.25" customHeight="1" x14ac:dyDescent="0.25">
      <c r="A38" s="256"/>
      <c r="B38" s="248" t="s">
        <v>209</v>
      </c>
      <c r="C38" s="51">
        <v>1</v>
      </c>
      <c r="D38" s="66">
        <v>45723</v>
      </c>
      <c r="E38" s="66">
        <v>46088</v>
      </c>
      <c r="F38" s="62" t="s">
        <v>210</v>
      </c>
      <c r="G38" s="117" t="s">
        <v>211</v>
      </c>
      <c r="H38" s="118" t="s">
        <v>212</v>
      </c>
      <c r="I38" s="119" t="s">
        <v>213</v>
      </c>
      <c r="J38" s="120" t="s">
        <v>214</v>
      </c>
      <c r="K38" s="120" t="s">
        <v>215</v>
      </c>
      <c r="L38" s="58">
        <v>94.9</v>
      </c>
    </row>
    <row r="39" spans="1:12" ht="14.25" customHeight="1" x14ac:dyDescent="0.25">
      <c r="A39" s="256"/>
      <c r="B39" s="248"/>
      <c r="C39" s="51">
        <v>2</v>
      </c>
      <c r="D39" s="66">
        <v>45723</v>
      </c>
      <c r="E39" s="66">
        <v>46088</v>
      </c>
      <c r="F39" s="62" t="s">
        <v>210</v>
      </c>
      <c r="G39" s="117" t="s">
        <v>211</v>
      </c>
      <c r="H39" s="118" t="s">
        <v>212</v>
      </c>
      <c r="I39" s="119" t="s">
        <v>213</v>
      </c>
      <c r="J39" s="120" t="s">
        <v>214</v>
      </c>
      <c r="K39" s="120" t="s">
        <v>216</v>
      </c>
      <c r="L39" s="58">
        <v>104.9</v>
      </c>
    </row>
    <row r="40" spans="1:12" ht="14.25" customHeight="1" x14ac:dyDescent="0.25">
      <c r="A40" s="256"/>
      <c r="B40" s="248"/>
      <c r="C40" s="51">
        <v>3</v>
      </c>
      <c r="D40" s="66">
        <v>45532</v>
      </c>
      <c r="E40" s="66">
        <v>45897</v>
      </c>
      <c r="F40" s="62" t="s">
        <v>217</v>
      </c>
      <c r="G40" s="117" t="s">
        <v>218</v>
      </c>
      <c r="H40" s="118" t="s">
        <v>219</v>
      </c>
      <c r="I40" s="119" t="s">
        <v>220</v>
      </c>
      <c r="J40" s="120" t="s">
        <v>221</v>
      </c>
      <c r="K40" s="120" t="s">
        <v>222</v>
      </c>
      <c r="L40" s="58">
        <v>74.650000000000006</v>
      </c>
    </row>
    <row r="41" spans="1:12" ht="14.25" customHeight="1" x14ac:dyDescent="0.25">
      <c r="A41" s="256"/>
      <c r="B41" s="248"/>
      <c r="C41" s="51">
        <v>4</v>
      </c>
      <c r="D41" s="66">
        <v>45433</v>
      </c>
      <c r="E41" s="66">
        <v>45798</v>
      </c>
      <c r="F41" s="62" t="s">
        <v>223</v>
      </c>
      <c r="G41" s="117" t="s">
        <v>224</v>
      </c>
      <c r="H41" s="118" t="s">
        <v>225</v>
      </c>
      <c r="I41" s="119" t="s">
        <v>226</v>
      </c>
      <c r="J41" s="120" t="s">
        <v>227</v>
      </c>
      <c r="K41" s="120" t="s">
        <v>228</v>
      </c>
      <c r="L41" s="58">
        <v>72.989999999999995</v>
      </c>
    </row>
    <row r="42" spans="1:12" ht="14.25" customHeight="1" x14ac:dyDescent="0.25">
      <c r="A42" s="256"/>
      <c r="B42" s="248"/>
      <c r="C42" s="51">
        <v>5</v>
      </c>
      <c r="D42" s="66">
        <v>45457</v>
      </c>
      <c r="E42" s="66">
        <v>45822</v>
      </c>
      <c r="F42" s="62" t="s">
        <v>229</v>
      </c>
      <c r="G42" s="117" t="s">
        <v>230</v>
      </c>
      <c r="H42" s="118" t="s">
        <v>231</v>
      </c>
      <c r="I42" s="119" t="s">
        <v>232</v>
      </c>
      <c r="J42" s="120" t="s">
        <v>233</v>
      </c>
      <c r="K42" s="120" t="s">
        <v>234</v>
      </c>
      <c r="L42" s="58">
        <v>69.099999999999994</v>
      </c>
    </row>
    <row r="43" spans="1:12" ht="14.25" customHeight="1" x14ac:dyDescent="0.25">
      <c r="A43" s="256"/>
      <c r="B43" s="248" t="s">
        <v>235</v>
      </c>
      <c r="C43" s="51">
        <v>1</v>
      </c>
      <c r="D43" s="66">
        <v>45701</v>
      </c>
      <c r="E43" s="66">
        <f t="shared" ref="E43:E59" si="1">D43+365</f>
        <v>46066</v>
      </c>
      <c r="F43" s="62" t="s">
        <v>236</v>
      </c>
      <c r="G43" s="117" t="s">
        <v>237</v>
      </c>
      <c r="H43" s="118" t="s">
        <v>238</v>
      </c>
      <c r="I43" s="119" t="s">
        <v>239</v>
      </c>
      <c r="J43" s="119" t="s">
        <v>240</v>
      </c>
      <c r="K43" s="119" t="s">
        <v>241</v>
      </c>
      <c r="L43" s="58">
        <v>29.9</v>
      </c>
    </row>
    <row r="44" spans="1:12" ht="14.25" customHeight="1" x14ac:dyDescent="0.25">
      <c r="A44" s="256"/>
      <c r="B44" s="248"/>
      <c r="C44" s="51">
        <v>2</v>
      </c>
      <c r="D44" s="66">
        <v>45608</v>
      </c>
      <c r="E44" s="66">
        <f t="shared" si="1"/>
        <v>45973</v>
      </c>
      <c r="F44" s="62" t="s">
        <v>242</v>
      </c>
      <c r="G44" s="117" t="s">
        <v>243</v>
      </c>
      <c r="H44" s="118" t="s">
        <v>244</v>
      </c>
      <c r="I44" s="119" t="s">
        <v>245</v>
      </c>
      <c r="J44" s="119" t="s">
        <v>246</v>
      </c>
      <c r="K44" s="119" t="s">
        <v>247</v>
      </c>
      <c r="L44" s="58">
        <v>25</v>
      </c>
    </row>
    <row r="45" spans="1:12" ht="14.25" customHeight="1" x14ac:dyDescent="0.25">
      <c r="A45" s="256"/>
      <c r="B45" s="248"/>
      <c r="C45" s="51">
        <v>3</v>
      </c>
      <c r="D45" s="66">
        <v>45644</v>
      </c>
      <c r="E45" s="66">
        <f t="shared" si="1"/>
        <v>46009</v>
      </c>
      <c r="F45" s="62" t="s">
        <v>248</v>
      </c>
      <c r="G45" s="117" t="s">
        <v>249</v>
      </c>
      <c r="H45" s="118" t="s">
        <v>250</v>
      </c>
      <c r="I45" s="119" t="s">
        <v>251</v>
      </c>
      <c r="J45" s="62" t="s">
        <v>252</v>
      </c>
      <c r="K45" s="119" t="s">
        <v>253</v>
      </c>
      <c r="L45" s="58">
        <v>30</v>
      </c>
    </row>
    <row r="46" spans="1:12" ht="14.25" customHeight="1" x14ac:dyDescent="0.25">
      <c r="A46" s="256"/>
      <c r="B46" s="248"/>
      <c r="C46" s="51">
        <v>4</v>
      </c>
      <c r="D46" s="66">
        <v>45504</v>
      </c>
      <c r="E46" s="66">
        <f t="shared" si="1"/>
        <v>45869</v>
      </c>
      <c r="F46" s="62" t="s">
        <v>254</v>
      </c>
      <c r="G46" s="117" t="s">
        <v>255</v>
      </c>
      <c r="H46" s="118" t="s">
        <v>256</v>
      </c>
      <c r="I46" s="119" t="s">
        <v>257</v>
      </c>
      <c r="J46" s="119" t="s">
        <v>258</v>
      </c>
      <c r="K46" s="119" t="s">
        <v>259</v>
      </c>
      <c r="L46" s="58">
        <v>22.61</v>
      </c>
    </row>
    <row r="47" spans="1:12" ht="14.25" customHeight="1" x14ac:dyDescent="0.25">
      <c r="A47" s="256"/>
      <c r="B47" s="248"/>
      <c r="C47" s="51">
        <v>5</v>
      </c>
      <c r="D47" s="66">
        <v>45475</v>
      </c>
      <c r="E47" s="66">
        <f t="shared" si="1"/>
        <v>45840</v>
      </c>
      <c r="F47" s="62" t="s">
        <v>254</v>
      </c>
      <c r="G47" s="117" t="s">
        <v>255</v>
      </c>
      <c r="H47" s="118" t="s">
        <v>256</v>
      </c>
      <c r="I47" s="119" t="s">
        <v>257</v>
      </c>
      <c r="J47" s="119" t="s">
        <v>260</v>
      </c>
      <c r="K47" s="119" t="s">
        <v>261</v>
      </c>
      <c r="L47" s="58">
        <v>22.61</v>
      </c>
    </row>
    <row r="48" spans="1:12" ht="14.25" customHeight="1" x14ac:dyDescent="0.25">
      <c r="A48" s="256"/>
      <c r="B48" s="248" t="s">
        <v>262</v>
      </c>
      <c r="C48" s="51">
        <v>1</v>
      </c>
      <c r="D48" s="66">
        <v>45701</v>
      </c>
      <c r="E48" s="66">
        <f t="shared" si="1"/>
        <v>46066</v>
      </c>
      <c r="F48" s="62" t="s">
        <v>263</v>
      </c>
      <c r="G48" s="117" t="s">
        <v>264</v>
      </c>
      <c r="H48" s="118" t="s">
        <v>265</v>
      </c>
      <c r="I48" s="119" t="s">
        <v>266</v>
      </c>
      <c r="J48" s="62" t="s">
        <v>267</v>
      </c>
      <c r="K48" s="119" t="s">
        <v>268</v>
      </c>
      <c r="L48" s="58">
        <v>11.5</v>
      </c>
    </row>
    <row r="49" spans="1:12" ht="14.25" customHeight="1" x14ac:dyDescent="0.25">
      <c r="A49" s="256"/>
      <c r="B49" s="248"/>
      <c r="C49" s="51">
        <v>2</v>
      </c>
      <c r="D49" s="66">
        <v>45701</v>
      </c>
      <c r="E49" s="66">
        <f t="shared" si="1"/>
        <v>46066</v>
      </c>
      <c r="F49" s="62" t="s">
        <v>263</v>
      </c>
      <c r="G49" s="117" t="s">
        <v>264</v>
      </c>
      <c r="H49" s="118" t="s">
        <v>265</v>
      </c>
      <c r="I49" s="119" t="s">
        <v>266</v>
      </c>
      <c r="J49" s="62" t="s">
        <v>267</v>
      </c>
      <c r="K49" s="119" t="s">
        <v>269</v>
      </c>
      <c r="L49" s="58">
        <v>10.45</v>
      </c>
    </row>
    <row r="50" spans="1:12" ht="14.25" customHeight="1" x14ac:dyDescent="0.25">
      <c r="A50" s="256"/>
      <c r="B50" s="248"/>
      <c r="C50" s="51">
        <v>3</v>
      </c>
      <c r="D50" s="66">
        <v>45701</v>
      </c>
      <c r="E50" s="66">
        <f t="shared" si="1"/>
        <v>46066</v>
      </c>
      <c r="F50" s="62" t="s">
        <v>263</v>
      </c>
      <c r="G50" s="117" t="s">
        <v>264</v>
      </c>
      <c r="H50" s="118" t="s">
        <v>265</v>
      </c>
      <c r="I50" s="119" t="s">
        <v>266</v>
      </c>
      <c r="J50" s="62" t="s">
        <v>267</v>
      </c>
      <c r="K50" s="119" t="s">
        <v>270</v>
      </c>
      <c r="L50" s="58">
        <v>9.8000000000000007</v>
      </c>
    </row>
    <row r="51" spans="1:12" ht="14.25" customHeight="1" x14ac:dyDescent="0.25">
      <c r="A51" s="256"/>
      <c r="B51" s="248"/>
      <c r="C51" s="51">
        <v>4</v>
      </c>
      <c r="D51" s="66">
        <v>45699</v>
      </c>
      <c r="E51" s="66">
        <f t="shared" si="1"/>
        <v>46064</v>
      </c>
      <c r="F51" s="62" t="s">
        <v>271</v>
      </c>
      <c r="G51" s="117" t="s">
        <v>272</v>
      </c>
      <c r="H51" s="118" t="s">
        <v>273</v>
      </c>
      <c r="I51" s="119" t="s">
        <v>274</v>
      </c>
      <c r="J51" s="119" t="s">
        <v>275</v>
      </c>
      <c r="K51" s="119" t="s">
        <v>276</v>
      </c>
      <c r="L51" s="58">
        <v>10.85</v>
      </c>
    </row>
    <row r="52" spans="1:12" ht="14.25" customHeight="1" x14ac:dyDescent="0.25">
      <c r="A52" s="256"/>
      <c r="B52" s="248"/>
      <c r="C52" s="51">
        <v>5</v>
      </c>
      <c r="D52" s="66">
        <v>45615</v>
      </c>
      <c r="E52" s="66">
        <f t="shared" si="1"/>
        <v>45980</v>
      </c>
      <c r="F52" s="62" t="s">
        <v>277</v>
      </c>
      <c r="G52" s="117" t="s">
        <v>278</v>
      </c>
      <c r="H52" s="118" t="s">
        <v>279</v>
      </c>
      <c r="I52" s="119" t="s">
        <v>280</v>
      </c>
      <c r="J52" s="119" t="s">
        <v>281</v>
      </c>
      <c r="K52" s="119" t="s">
        <v>282</v>
      </c>
      <c r="L52" s="58">
        <v>9.8000000000000007</v>
      </c>
    </row>
    <row r="53" spans="1:12" ht="14.25" customHeight="1" x14ac:dyDescent="0.25">
      <c r="A53" s="256"/>
      <c r="B53" s="248" t="s">
        <v>283</v>
      </c>
      <c r="C53" s="51">
        <v>1</v>
      </c>
      <c r="D53" s="66">
        <v>45701</v>
      </c>
      <c r="E53" s="66">
        <f t="shared" si="1"/>
        <v>46066</v>
      </c>
      <c r="F53" s="62" t="s">
        <v>236</v>
      </c>
      <c r="G53" s="117" t="s">
        <v>237</v>
      </c>
      <c r="H53" s="118" t="s">
        <v>238</v>
      </c>
      <c r="I53" s="119" t="s">
        <v>239</v>
      </c>
      <c r="J53" s="119" t="s">
        <v>331</v>
      </c>
      <c r="K53" s="119" t="s">
        <v>241</v>
      </c>
      <c r="L53" s="58">
        <v>88</v>
      </c>
    </row>
    <row r="54" spans="1:12" ht="14.25" customHeight="1" x14ac:dyDescent="0.25">
      <c r="A54" s="256"/>
      <c r="B54" s="248"/>
      <c r="C54" s="51">
        <v>2</v>
      </c>
      <c r="D54" s="66">
        <v>45608</v>
      </c>
      <c r="E54" s="66">
        <f t="shared" si="1"/>
        <v>45973</v>
      </c>
      <c r="F54" s="62" t="s">
        <v>332</v>
      </c>
      <c r="G54" s="117" t="s">
        <v>333</v>
      </c>
      <c r="H54" s="118" t="s">
        <v>334</v>
      </c>
      <c r="I54" s="119" t="s">
        <v>335</v>
      </c>
      <c r="J54" s="119" t="s">
        <v>336</v>
      </c>
      <c r="K54" s="119" t="s">
        <v>247</v>
      </c>
      <c r="L54" s="58">
        <v>68</v>
      </c>
    </row>
    <row r="55" spans="1:12" ht="14.25" customHeight="1" x14ac:dyDescent="0.25">
      <c r="A55" s="256"/>
      <c r="B55" s="248"/>
      <c r="C55" s="51">
        <v>3</v>
      </c>
      <c r="D55" s="66">
        <v>45770</v>
      </c>
      <c r="E55" s="66">
        <f t="shared" si="1"/>
        <v>46135</v>
      </c>
      <c r="F55" s="62" t="s">
        <v>337</v>
      </c>
      <c r="G55" s="117" t="s">
        <v>338</v>
      </c>
      <c r="H55" s="118" t="s">
        <v>339</v>
      </c>
      <c r="I55" s="119" t="s">
        <v>340</v>
      </c>
      <c r="J55" s="119" t="s">
        <v>341</v>
      </c>
      <c r="K55" s="119" t="s">
        <v>342</v>
      </c>
      <c r="L55" s="58">
        <v>99.99</v>
      </c>
    </row>
    <row r="56" spans="1:12" ht="14.25" customHeight="1" x14ac:dyDescent="0.25">
      <c r="A56" s="256"/>
      <c r="B56" s="248"/>
      <c r="C56" s="51">
        <v>4</v>
      </c>
      <c r="D56" s="66">
        <v>45644</v>
      </c>
      <c r="E56" s="66">
        <f t="shared" si="1"/>
        <v>46009</v>
      </c>
      <c r="F56" s="62" t="s">
        <v>343</v>
      </c>
      <c r="G56" s="117" t="s">
        <v>344</v>
      </c>
      <c r="H56" s="118" t="s">
        <v>345</v>
      </c>
      <c r="I56" s="119" t="s">
        <v>346</v>
      </c>
      <c r="J56" s="119" t="s">
        <v>347</v>
      </c>
      <c r="K56" s="119" t="s">
        <v>348</v>
      </c>
      <c r="L56" s="58">
        <v>61.59</v>
      </c>
    </row>
    <row r="57" spans="1:12" ht="14.25" customHeight="1" x14ac:dyDescent="0.25">
      <c r="A57" s="256"/>
      <c r="B57" s="248"/>
      <c r="C57" s="51">
        <v>5</v>
      </c>
      <c r="D57" s="66">
        <v>45510</v>
      </c>
      <c r="E57" s="66">
        <f t="shared" si="1"/>
        <v>45875</v>
      </c>
      <c r="F57" s="62" t="s">
        <v>349</v>
      </c>
      <c r="G57" s="117" t="s">
        <v>350</v>
      </c>
      <c r="H57" s="118" t="s">
        <v>351</v>
      </c>
      <c r="I57" s="119" t="s">
        <v>352</v>
      </c>
      <c r="J57" s="119" t="s">
        <v>353</v>
      </c>
      <c r="K57" s="119" t="s">
        <v>354</v>
      </c>
      <c r="L57" s="58">
        <v>105.98</v>
      </c>
    </row>
    <row r="58" spans="1:12" ht="14.25" customHeight="1" x14ac:dyDescent="0.25">
      <c r="A58" s="256"/>
      <c r="B58" s="248" t="s">
        <v>305</v>
      </c>
      <c r="C58" s="51">
        <v>1</v>
      </c>
      <c r="D58" s="66">
        <v>45608</v>
      </c>
      <c r="E58" s="66">
        <f t="shared" si="1"/>
        <v>45973</v>
      </c>
      <c r="F58" s="62" t="s">
        <v>318</v>
      </c>
      <c r="G58" s="117" t="s">
        <v>319</v>
      </c>
      <c r="H58" s="118" t="s">
        <v>320</v>
      </c>
      <c r="I58" s="119" t="s">
        <v>321</v>
      </c>
      <c r="J58" s="119" t="s">
        <v>336</v>
      </c>
      <c r="K58" s="119" t="s">
        <v>355</v>
      </c>
      <c r="L58" s="58">
        <v>26.33</v>
      </c>
    </row>
    <row r="59" spans="1:12" ht="14.25" customHeight="1" x14ac:dyDescent="0.25">
      <c r="A59" s="256"/>
      <c r="B59" s="248"/>
      <c r="C59" s="51">
        <v>2</v>
      </c>
      <c r="D59" s="66">
        <v>45608</v>
      </c>
      <c r="E59" s="66">
        <f t="shared" si="1"/>
        <v>45973</v>
      </c>
      <c r="F59" s="62" t="s">
        <v>318</v>
      </c>
      <c r="G59" s="117" t="s">
        <v>319</v>
      </c>
      <c r="H59" s="118" t="s">
        <v>320</v>
      </c>
      <c r="I59" s="119" t="s">
        <v>321</v>
      </c>
      <c r="J59" s="119" t="s">
        <v>336</v>
      </c>
      <c r="K59" s="119" t="s">
        <v>356</v>
      </c>
      <c r="L59" s="58">
        <v>26.33</v>
      </c>
    </row>
    <row r="60" spans="1:12" ht="14.25" customHeight="1" x14ac:dyDescent="0.25">
      <c r="A60" s="256"/>
      <c r="B60" s="248"/>
      <c r="C60" s="51">
        <v>3</v>
      </c>
      <c r="D60" s="66">
        <v>45855</v>
      </c>
      <c r="E60" s="66">
        <f>D60+180</f>
        <v>46035</v>
      </c>
      <c r="F60" s="62" t="s">
        <v>357</v>
      </c>
      <c r="G60" s="117" t="s">
        <v>358</v>
      </c>
      <c r="H60" s="118" t="s">
        <v>359</v>
      </c>
      <c r="I60" s="119" t="s">
        <v>360</v>
      </c>
      <c r="J60" s="246" t="s">
        <v>288</v>
      </c>
      <c r="K60" s="247"/>
      <c r="L60" s="58">
        <v>47.22</v>
      </c>
    </row>
    <row r="61" spans="1:12" ht="14.25" customHeight="1" x14ac:dyDescent="0.25">
      <c r="A61" s="256"/>
      <c r="B61" s="248"/>
      <c r="C61" s="51">
        <v>4</v>
      </c>
      <c r="D61" s="66">
        <v>45855</v>
      </c>
      <c r="E61" s="66">
        <f t="shared" ref="E61:E62" si="2">D61+180</f>
        <v>46035</v>
      </c>
      <c r="F61" s="62" t="s">
        <v>361</v>
      </c>
      <c r="G61" s="117" t="s">
        <v>362</v>
      </c>
      <c r="H61" s="118" t="s">
        <v>363</v>
      </c>
      <c r="I61" s="119" t="s">
        <v>364</v>
      </c>
      <c r="J61" s="246" t="s">
        <v>288</v>
      </c>
      <c r="K61" s="247"/>
      <c r="L61" s="58">
        <v>45.59</v>
      </c>
    </row>
    <row r="62" spans="1:12" ht="14.25" customHeight="1" x14ac:dyDescent="0.25">
      <c r="A62" s="256"/>
      <c r="B62" s="248"/>
      <c r="C62" s="51">
        <v>5</v>
      </c>
      <c r="D62" s="66">
        <v>45855</v>
      </c>
      <c r="E62" s="66">
        <f t="shared" si="2"/>
        <v>46035</v>
      </c>
      <c r="F62" s="62" t="s">
        <v>365</v>
      </c>
      <c r="G62" s="57" t="s">
        <v>366</v>
      </c>
      <c r="H62" s="121" t="s">
        <v>367</v>
      </c>
      <c r="I62" s="73" t="s">
        <v>368</v>
      </c>
      <c r="J62" s="246" t="s">
        <v>288</v>
      </c>
      <c r="K62" s="247"/>
      <c r="L62" s="69">
        <v>45.5</v>
      </c>
    </row>
    <row r="63" spans="1:12" ht="14.25" customHeight="1" x14ac:dyDescent="0.25">
      <c r="A63" s="255" t="s">
        <v>147</v>
      </c>
      <c r="B63" s="248" t="s">
        <v>179</v>
      </c>
      <c r="C63" s="51">
        <v>1</v>
      </c>
      <c r="D63" s="66">
        <v>45793</v>
      </c>
      <c r="E63" s="66">
        <f t="shared" ref="E63:E67" si="3">D63+365</f>
        <v>46158</v>
      </c>
      <c r="F63" s="62" t="s">
        <v>369</v>
      </c>
      <c r="G63" s="117" t="s">
        <v>370</v>
      </c>
      <c r="H63" s="118" t="s">
        <v>371</v>
      </c>
      <c r="I63" s="119" t="s">
        <v>372</v>
      </c>
      <c r="J63" s="119" t="s">
        <v>373</v>
      </c>
      <c r="K63" s="119" t="s">
        <v>374</v>
      </c>
      <c r="L63" s="58">
        <v>15.9</v>
      </c>
    </row>
    <row r="64" spans="1:12" ht="14.25" customHeight="1" x14ac:dyDescent="0.25">
      <c r="A64" s="256"/>
      <c r="B64" s="248"/>
      <c r="C64" s="51">
        <v>2</v>
      </c>
      <c r="D64" s="66">
        <v>45776</v>
      </c>
      <c r="E64" s="66">
        <f t="shared" si="3"/>
        <v>46141</v>
      </c>
      <c r="F64" s="62" t="s">
        <v>375</v>
      </c>
      <c r="G64" s="117" t="s">
        <v>376</v>
      </c>
      <c r="H64" s="118" t="s">
        <v>377</v>
      </c>
      <c r="I64" s="119" t="s">
        <v>378</v>
      </c>
      <c r="J64" s="119" t="s">
        <v>379</v>
      </c>
      <c r="K64" s="101" t="s">
        <v>380</v>
      </c>
      <c r="L64" s="58">
        <v>18.8</v>
      </c>
    </row>
    <row r="65" spans="1:14" ht="14.25" customHeight="1" x14ac:dyDescent="0.25">
      <c r="A65" s="256"/>
      <c r="B65" s="248"/>
      <c r="C65" s="51">
        <v>3</v>
      </c>
      <c r="D65" s="66">
        <v>45812</v>
      </c>
      <c r="E65" s="66">
        <f t="shared" si="3"/>
        <v>46177</v>
      </c>
      <c r="F65" s="62" t="s">
        <v>381</v>
      </c>
      <c r="G65" s="117" t="s">
        <v>382</v>
      </c>
      <c r="H65" s="118" t="s">
        <v>383</v>
      </c>
      <c r="I65" s="119" t="s">
        <v>384</v>
      </c>
      <c r="J65" s="119" t="s">
        <v>385</v>
      </c>
      <c r="K65" s="119" t="s">
        <v>386</v>
      </c>
      <c r="L65" s="58">
        <v>15.49</v>
      </c>
    </row>
    <row r="66" spans="1:14" ht="14.25" customHeight="1" x14ac:dyDescent="0.25">
      <c r="A66" s="256"/>
      <c r="B66" s="248"/>
      <c r="C66" s="51">
        <v>4</v>
      </c>
      <c r="D66" s="66">
        <v>45789</v>
      </c>
      <c r="E66" s="66">
        <f t="shared" si="3"/>
        <v>46154</v>
      </c>
      <c r="F66" s="62" t="s">
        <v>369</v>
      </c>
      <c r="G66" s="117" t="s">
        <v>370</v>
      </c>
      <c r="H66" s="118" t="s">
        <v>387</v>
      </c>
      <c r="I66" s="119" t="s">
        <v>388</v>
      </c>
      <c r="J66" s="119" t="s">
        <v>240</v>
      </c>
      <c r="K66" s="119" t="s">
        <v>374</v>
      </c>
      <c r="L66" s="58">
        <v>15.9</v>
      </c>
    </row>
    <row r="67" spans="1:14" ht="14.25" customHeight="1" x14ac:dyDescent="0.25">
      <c r="A67" s="256"/>
      <c r="B67" s="248"/>
      <c r="C67" s="51">
        <v>5</v>
      </c>
      <c r="D67" s="66">
        <v>45750</v>
      </c>
      <c r="E67" s="66">
        <f t="shared" si="3"/>
        <v>46115</v>
      </c>
      <c r="F67" s="62" t="s">
        <v>503</v>
      </c>
      <c r="G67" s="117" t="s">
        <v>389</v>
      </c>
      <c r="H67" s="118" t="s">
        <v>390</v>
      </c>
      <c r="I67" s="119" t="s">
        <v>391</v>
      </c>
      <c r="J67" s="70" t="s">
        <v>392</v>
      </c>
      <c r="K67" s="70" t="s">
        <v>393</v>
      </c>
      <c r="L67" s="58">
        <v>14.8</v>
      </c>
    </row>
    <row r="68" spans="1:14" ht="14.25" customHeight="1" x14ac:dyDescent="0.25">
      <c r="A68" s="256"/>
      <c r="B68" s="248" t="s">
        <v>209</v>
      </c>
      <c r="C68" s="51">
        <v>1</v>
      </c>
      <c r="D68" s="66">
        <v>45876</v>
      </c>
      <c r="E68" s="66">
        <f>D68+180</f>
        <v>46056</v>
      </c>
      <c r="F68" s="63" t="s">
        <v>394</v>
      </c>
      <c r="G68" s="117" t="s">
        <v>395</v>
      </c>
      <c r="H68" s="118" t="s">
        <v>396</v>
      </c>
      <c r="I68" s="119" t="s">
        <v>397</v>
      </c>
      <c r="J68" s="246" t="s">
        <v>288</v>
      </c>
      <c r="K68" s="247"/>
      <c r="L68" s="58">
        <v>292.26</v>
      </c>
    </row>
    <row r="69" spans="1:14" ht="14.25" customHeight="1" x14ac:dyDescent="0.25">
      <c r="A69" s="256"/>
      <c r="B69" s="248"/>
      <c r="C69" s="51">
        <v>2</v>
      </c>
      <c r="D69" s="66">
        <v>45876</v>
      </c>
      <c r="E69" s="66">
        <f t="shared" ref="E69:E72" si="4">D69+180</f>
        <v>46056</v>
      </c>
      <c r="F69" s="63" t="s">
        <v>398</v>
      </c>
      <c r="G69" s="117" t="s">
        <v>399</v>
      </c>
      <c r="H69" s="118" t="s">
        <v>400</v>
      </c>
      <c r="I69" s="119" t="s">
        <v>401</v>
      </c>
      <c r="J69" s="246" t="s">
        <v>288</v>
      </c>
      <c r="K69" s="247"/>
      <c r="L69" s="58">
        <v>329.72</v>
      </c>
    </row>
    <row r="70" spans="1:14" ht="14.25" customHeight="1" x14ac:dyDescent="0.25">
      <c r="A70" s="256"/>
      <c r="B70" s="248"/>
      <c r="C70" s="51">
        <v>3</v>
      </c>
      <c r="D70" s="66">
        <v>45876</v>
      </c>
      <c r="E70" s="66">
        <f t="shared" si="4"/>
        <v>46056</v>
      </c>
      <c r="F70" s="62" t="s">
        <v>402</v>
      </c>
      <c r="G70" s="88" t="s">
        <v>403</v>
      </c>
      <c r="H70" s="118" t="s">
        <v>404</v>
      </c>
      <c r="I70" s="119" t="s">
        <v>405</v>
      </c>
      <c r="J70" s="246" t="s">
        <v>288</v>
      </c>
      <c r="K70" s="247"/>
      <c r="L70" s="58">
        <v>299.89999999999998</v>
      </c>
    </row>
    <row r="71" spans="1:14" ht="14.25" customHeight="1" x14ac:dyDescent="0.25">
      <c r="A71" s="256"/>
      <c r="B71" s="248"/>
      <c r="C71" s="51">
        <v>4</v>
      </c>
      <c r="D71" s="66">
        <v>45876</v>
      </c>
      <c r="E71" s="66">
        <f t="shared" si="4"/>
        <v>46056</v>
      </c>
      <c r="F71" s="63" t="s">
        <v>406</v>
      </c>
      <c r="G71" s="117" t="s">
        <v>407</v>
      </c>
      <c r="H71" s="118" t="s">
        <v>408</v>
      </c>
      <c r="I71" s="119" t="s">
        <v>409</v>
      </c>
      <c r="J71" s="246" t="s">
        <v>288</v>
      </c>
      <c r="K71" s="247"/>
      <c r="L71" s="58">
        <v>297.8</v>
      </c>
    </row>
    <row r="72" spans="1:14" ht="14.25" customHeight="1" x14ac:dyDescent="0.25">
      <c r="A72" s="256"/>
      <c r="B72" s="248"/>
      <c r="C72" s="51">
        <v>5</v>
      </c>
      <c r="D72" s="66">
        <v>45876</v>
      </c>
      <c r="E72" s="66">
        <f t="shared" si="4"/>
        <v>46056</v>
      </c>
      <c r="F72" s="63" t="s">
        <v>410</v>
      </c>
      <c r="G72" s="117" t="s">
        <v>411</v>
      </c>
      <c r="H72" s="118" t="s">
        <v>412</v>
      </c>
      <c r="I72" s="119" t="s">
        <v>413</v>
      </c>
      <c r="J72" s="246" t="s">
        <v>288</v>
      </c>
      <c r="K72" s="247"/>
      <c r="L72" s="58">
        <v>312.7</v>
      </c>
    </row>
    <row r="73" spans="1:14" ht="14.25" customHeight="1" x14ac:dyDescent="0.25">
      <c r="A73" s="256"/>
      <c r="B73" s="248" t="s">
        <v>235</v>
      </c>
      <c r="C73" s="51">
        <v>1</v>
      </c>
      <c r="D73" s="66">
        <v>45647</v>
      </c>
      <c r="E73" s="66">
        <v>46011</v>
      </c>
      <c r="F73" s="62" t="s">
        <v>414</v>
      </c>
      <c r="G73" s="117" t="s">
        <v>415</v>
      </c>
      <c r="H73" s="118" t="s">
        <v>416</v>
      </c>
      <c r="I73" s="119" t="s">
        <v>417</v>
      </c>
      <c r="J73" s="119" t="s">
        <v>418</v>
      </c>
      <c r="K73" s="119" t="s">
        <v>419</v>
      </c>
      <c r="L73" s="58">
        <v>16</v>
      </c>
    </row>
    <row r="74" spans="1:14" ht="14.25" customHeight="1" x14ac:dyDescent="0.25">
      <c r="A74" s="256"/>
      <c r="B74" s="248"/>
      <c r="C74" s="51">
        <v>2</v>
      </c>
      <c r="D74" s="66">
        <v>45628</v>
      </c>
      <c r="E74" s="66">
        <v>45992</v>
      </c>
      <c r="F74" s="62" t="s">
        <v>420</v>
      </c>
      <c r="G74" s="117" t="s">
        <v>421</v>
      </c>
      <c r="H74" s="118" t="s">
        <v>422</v>
      </c>
      <c r="I74" s="119" t="s">
        <v>423</v>
      </c>
      <c r="J74" s="119" t="s">
        <v>424</v>
      </c>
      <c r="K74" s="119" t="s">
        <v>425</v>
      </c>
      <c r="L74" s="58">
        <v>20</v>
      </c>
    </row>
    <row r="75" spans="1:14" ht="14.25" customHeight="1" x14ac:dyDescent="0.25">
      <c r="A75" s="256"/>
      <c r="B75" s="248"/>
      <c r="C75" s="51">
        <v>3</v>
      </c>
      <c r="D75" s="66">
        <v>45597</v>
      </c>
      <c r="E75" s="66">
        <v>45961</v>
      </c>
      <c r="F75" s="62" t="s">
        <v>426</v>
      </c>
      <c r="G75" s="117" t="s">
        <v>427</v>
      </c>
      <c r="H75" s="118" t="s">
        <v>428</v>
      </c>
      <c r="I75" s="119" t="s">
        <v>429</v>
      </c>
      <c r="J75" s="119" t="s">
        <v>430</v>
      </c>
      <c r="K75" s="119" t="s">
        <v>431</v>
      </c>
      <c r="L75" s="58">
        <v>10.61</v>
      </c>
    </row>
    <row r="76" spans="1:14" ht="14.25" customHeight="1" x14ac:dyDescent="0.25">
      <c r="A76" s="256"/>
      <c r="B76" s="248"/>
      <c r="C76" s="51">
        <v>4</v>
      </c>
      <c r="D76" s="66">
        <v>45717</v>
      </c>
      <c r="E76" s="66">
        <v>47543</v>
      </c>
      <c r="F76" s="64" t="s">
        <v>432</v>
      </c>
      <c r="G76" s="112" t="s">
        <v>433</v>
      </c>
      <c r="H76" s="122" t="s">
        <v>434</v>
      </c>
      <c r="I76" s="120" t="s">
        <v>435</v>
      </c>
      <c r="J76" s="119" t="s">
        <v>436</v>
      </c>
      <c r="K76" s="119" t="s">
        <v>437</v>
      </c>
      <c r="L76" s="58">
        <v>10</v>
      </c>
    </row>
    <row r="77" spans="1:14" ht="14.25" customHeight="1" x14ac:dyDescent="0.25">
      <c r="A77" s="256"/>
      <c r="B77" s="248"/>
      <c r="C77" s="51">
        <v>5</v>
      </c>
      <c r="D77" s="66">
        <v>45651</v>
      </c>
      <c r="E77" s="66">
        <v>46015</v>
      </c>
      <c r="F77" s="62" t="s">
        <v>438</v>
      </c>
      <c r="G77" s="117" t="s">
        <v>421</v>
      </c>
      <c r="H77" s="118" t="s">
        <v>422</v>
      </c>
      <c r="I77" s="119" t="s">
        <v>423</v>
      </c>
      <c r="J77" s="119" t="s">
        <v>439</v>
      </c>
      <c r="K77" s="119" t="s">
        <v>440</v>
      </c>
      <c r="L77" s="58">
        <v>21.98</v>
      </c>
    </row>
    <row r="78" spans="1:14" ht="14.25" customHeight="1" x14ac:dyDescent="0.25">
      <c r="A78" s="256"/>
      <c r="B78" s="248" t="s">
        <v>262</v>
      </c>
      <c r="C78" s="51">
        <v>1</v>
      </c>
      <c r="D78" s="66">
        <v>45647</v>
      </c>
      <c r="E78" s="66">
        <v>46011</v>
      </c>
      <c r="F78" s="62" t="s">
        <v>414</v>
      </c>
      <c r="G78" s="117" t="s">
        <v>415</v>
      </c>
      <c r="H78" s="118" t="s">
        <v>416</v>
      </c>
      <c r="I78" s="119" t="s">
        <v>417</v>
      </c>
      <c r="J78" s="119" t="s">
        <v>418</v>
      </c>
      <c r="K78" s="119" t="s">
        <v>419</v>
      </c>
      <c r="L78" s="58">
        <v>3.9</v>
      </c>
    </row>
    <row r="79" spans="1:14" ht="14.25" customHeight="1" x14ac:dyDescent="0.25">
      <c r="A79" s="256"/>
      <c r="B79" s="248"/>
      <c r="C79" s="51">
        <v>2</v>
      </c>
      <c r="D79" s="66">
        <v>45628</v>
      </c>
      <c r="E79" s="66">
        <v>45992</v>
      </c>
      <c r="F79" s="62" t="s">
        <v>420</v>
      </c>
      <c r="G79" s="117" t="s">
        <v>421</v>
      </c>
      <c r="H79" s="118" t="s">
        <v>422</v>
      </c>
      <c r="I79" s="119" t="s">
        <v>423</v>
      </c>
      <c r="J79" s="119" t="s">
        <v>424</v>
      </c>
      <c r="K79" s="119" t="s">
        <v>425</v>
      </c>
      <c r="L79" s="58">
        <v>18</v>
      </c>
      <c r="M79"/>
      <c r="N79"/>
    </row>
    <row r="80" spans="1:14" ht="14.25" customHeight="1" x14ac:dyDescent="0.25">
      <c r="A80" s="256"/>
      <c r="B80" s="248"/>
      <c r="C80" s="51">
        <v>3</v>
      </c>
      <c r="D80" s="66">
        <v>45597</v>
      </c>
      <c r="E80" s="66">
        <v>45961</v>
      </c>
      <c r="F80" s="62" t="s">
        <v>426</v>
      </c>
      <c r="G80" s="117" t="s">
        <v>427</v>
      </c>
      <c r="H80" s="118" t="s">
        <v>428</v>
      </c>
      <c r="I80" s="119" t="s">
        <v>429</v>
      </c>
      <c r="J80" s="119" t="s">
        <v>430</v>
      </c>
      <c r="K80" s="119" t="s">
        <v>431</v>
      </c>
      <c r="L80" s="58">
        <v>2.36</v>
      </c>
      <c r="M80"/>
      <c r="N80"/>
    </row>
    <row r="81" spans="1:14" ht="14.25" customHeight="1" x14ac:dyDescent="0.25">
      <c r="A81" s="256"/>
      <c r="B81" s="248"/>
      <c r="C81" s="51">
        <v>4</v>
      </c>
      <c r="D81" s="66">
        <v>45160</v>
      </c>
      <c r="E81" s="66">
        <v>46315</v>
      </c>
      <c r="F81" s="62" t="s">
        <v>414</v>
      </c>
      <c r="G81" s="117" t="s">
        <v>415</v>
      </c>
      <c r="H81" s="118" t="s">
        <v>416</v>
      </c>
      <c r="I81" s="119" t="s">
        <v>417</v>
      </c>
      <c r="J81" s="120" t="s">
        <v>441</v>
      </c>
      <c r="K81" s="120" t="s">
        <v>442</v>
      </c>
      <c r="L81" s="58">
        <v>14.82</v>
      </c>
      <c r="M81"/>
      <c r="N81"/>
    </row>
    <row r="82" spans="1:14" ht="14.25" customHeight="1" x14ac:dyDescent="0.25">
      <c r="A82" s="256"/>
      <c r="B82" s="248"/>
      <c r="C82" s="51">
        <v>5</v>
      </c>
      <c r="D82" s="66">
        <v>45651</v>
      </c>
      <c r="E82" s="66">
        <v>46015</v>
      </c>
      <c r="F82" s="62" t="s">
        <v>438</v>
      </c>
      <c r="G82" s="117" t="s">
        <v>421</v>
      </c>
      <c r="H82" s="118" t="s">
        <v>422</v>
      </c>
      <c r="I82" s="119" t="s">
        <v>423</v>
      </c>
      <c r="J82" s="119" t="s">
        <v>439</v>
      </c>
      <c r="K82" s="119" t="s">
        <v>440</v>
      </c>
      <c r="L82" s="58">
        <v>17.170000000000002</v>
      </c>
      <c r="M82"/>
      <c r="N82"/>
    </row>
    <row r="83" spans="1:14" ht="14.25" customHeight="1" x14ac:dyDescent="0.25">
      <c r="A83" s="256"/>
      <c r="B83" s="248" t="s">
        <v>283</v>
      </c>
      <c r="C83" s="51">
        <v>1</v>
      </c>
      <c r="D83" s="66">
        <v>45647</v>
      </c>
      <c r="E83" s="66">
        <v>46011</v>
      </c>
      <c r="F83" s="62" t="s">
        <v>414</v>
      </c>
      <c r="G83" s="117" t="s">
        <v>415</v>
      </c>
      <c r="H83" s="118" t="s">
        <v>416</v>
      </c>
      <c r="I83" s="119" t="s">
        <v>417</v>
      </c>
      <c r="J83" s="119" t="s">
        <v>418</v>
      </c>
      <c r="K83" s="119" t="s">
        <v>419</v>
      </c>
      <c r="L83" s="58">
        <v>204</v>
      </c>
      <c r="M83"/>
      <c r="N83"/>
    </row>
    <row r="84" spans="1:14" ht="14.25" customHeight="1" x14ac:dyDescent="0.25">
      <c r="A84" s="256"/>
      <c r="B84" s="248"/>
      <c r="C84" s="51">
        <v>2</v>
      </c>
      <c r="D84" s="66">
        <v>45628</v>
      </c>
      <c r="E84" s="66">
        <v>45992</v>
      </c>
      <c r="F84" s="62" t="s">
        <v>420</v>
      </c>
      <c r="G84" s="117" t="s">
        <v>421</v>
      </c>
      <c r="H84" s="118" t="s">
        <v>422</v>
      </c>
      <c r="I84" s="119" t="s">
        <v>423</v>
      </c>
      <c r="J84" s="119" t="s">
        <v>424</v>
      </c>
      <c r="K84" s="119" t="s">
        <v>425</v>
      </c>
      <c r="L84" s="58">
        <v>90</v>
      </c>
      <c r="M84"/>
      <c r="N84"/>
    </row>
    <row r="85" spans="1:14" ht="14.25" customHeight="1" x14ac:dyDescent="0.25">
      <c r="A85" s="256"/>
      <c r="B85" s="248"/>
      <c r="C85" s="51">
        <v>3</v>
      </c>
      <c r="D85" s="66">
        <v>45597</v>
      </c>
      <c r="E85" s="66">
        <v>45961</v>
      </c>
      <c r="F85" s="62" t="s">
        <v>426</v>
      </c>
      <c r="G85" s="117" t="s">
        <v>427</v>
      </c>
      <c r="H85" s="118" t="s">
        <v>428</v>
      </c>
      <c r="I85" s="119" t="s">
        <v>429</v>
      </c>
      <c r="J85" s="119" t="s">
        <v>430</v>
      </c>
      <c r="K85" s="119" t="s">
        <v>431</v>
      </c>
      <c r="L85" s="58">
        <v>91.1</v>
      </c>
      <c r="M85"/>
      <c r="N85"/>
    </row>
    <row r="86" spans="1:14" ht="14.25" customHeight="1" x14ac:dyDescent="0.25">
      <c r="A86" s="256"/>
      <c r="B86" s="248"/>
      <c r="C86" s="51">
        <v>4</v>
      </c>
      <c r="D86" s="66">
        <v>45160</v>
      </c>
      <c r="E86" s="66">
        <v>46315</v>
      </c>
      <c r="F86" s="62" t="s">
        <v>414</v>
      </c>
      <c r="G86" s="117" t="s">
        <v>415</v>
      </c>
      <c r="H86" s="118" t="s">
        <v>416</v>
      </c>
      <c r="I86" s="119" t="s">
        <v>417</v>
      </c>
      <c r="J86" s="120" t="s">
        <v>441</v>
      </c>
      <c r="K86" s="120" t="s">
        <v>442</v>
      </c>
      <c r="L86" s="58">
        <v>275.37</v>
      </c>
      <c r="M86"/>
      <c r="N86"/>
    </row>
    <row r="87" spans="1:14" ht="14.25" customHeight="1" x14ac:dyDescent="0.25">
      <c r="A87" s="256"/>
      <c r="B87" s="248"/>
      <c r="C87" s="51">
        <v>5</v>
      </c>
      <c r="D87" s="66">
        <v>45651</v>
      </c>
      <c r="E87" s="66">
        <v>46015</v>
      </c>
      <c r="F87" s="62" t="s">
        <v>438</v>
      </c>
      <c r="G87" s="117" t="s">
        <v>421</v>
      </c>
      <c r="H87" s="118" t="s">
        <v>422</v>
      </c>
      <c r="I87" s="119" t="s">
        <v>423</v>
      </c>
      <c r="J87" s="119" t="s">
        <v>439</v>
      </c>
      <c r="K87" s="119" t="s">
        <v>440</v>
      </c>
      <c r="L87" s="58">
        <v>424.44</v>
      </c>
    </row>
    <row r="88" spans="1:14" ht="14.25" customHeight="1" x14ac:dyDescent="0.25">
      <c r="A88" s="256"/>
      <c r="B88" s="248" t="s">
        <v>305</v>
      </c>
      <c r="C88" s="51">
        <v>1</v>
      </c>
      <c r="D88" s="66">
        <v>45647</v>
      </c>
      <c r="E88" s="66">
        <v>46011</v>
      </c>
      <c r="F88" s="62" t="s">
        <v>414</v>
      </c>
      <c r="G88" s="117" t="s">
        <v>415</v>
      </c>
      <c r="H88" s="118" t="s">
        <v>416</v>
      </c>
      <c r="I88" s="119" t="s">
        <v>417</v>
      </c>
      <c r="J88" s="119" t="s">
        <v>418</v>
      </c>
      <c r="K88" s="119" t="s">
        <v>419</v>
      </c>
      <c r="L88" s="58">
        <v>61</v>
      </c>
    </row>
    <row r="89" spans="1:14" ht="14.25" customHeight="1" x14ac:dyDescent="0.25">
      <c r="A89" s="256"/>
      <c r="B89" s="248"/>
      <c r="C89" s="51">
        <v>2</v>
      </c>
      <c r="D89" s="66">
        <v>45628</v>
      </c>
      <c r="E89" s="66">
        <v>45992</v>
      </c>
      <c r="F89" s="62" t="s">
        <v>420</v>
      </c>
      <c r="G89" s="117" t="s">
        <v>421</v>
      </c>
      <c r="H89" s="118" t="s">
        <v>422</v>
      </c>
      <c r="I89" s="119" t="s">
        <v>423</v>
      </c>
      <c r="J89" s="119" t="s">
        <v>424</v>
      </c>
      <c r="K89" s="119" t="s">
        <v>425</v>
      </c>
      <c r="L89" s="58">
        <v>70</v>
      </c>
    </row>
    <row r="90" spans="1:14" ht="14.25" customHeight="1" x14ac:dyDescent="0.25">
      <c r="A90" s="256"/>
      <c r="B90" s="248"/>
      <c r="C90" s="51">
        <v>3</v>
      </c>
      <c r="D90" s="66">
        <v>45597</v>
      </c>
      <c r="E90" s="66">
        <v>45961</v>
      </c>
      <c r="F90" s="62" t="s">
        <v>426</v>
      </c>
      <c r="G90" s="117" t="s">
        <v>427</v>
      </c>
      <c r="H90" s="118" t="s">
        <v>428</v>
      </c>
      <c r="I90" s="119" t="s">
        <v>429</v>
      </c>
      <c r="J90" s="119" t="s">
        <v>430</v>
      </c>
      <c r="K90" s="119" t="s">
        <v>431</v>
      </c>
      <c r="L90" s="58">
        <v>96.49</v>
      </c>
    </row>
    <row r="91" spans="1:14" ht="14.25" customHeight="1" x14ac:dyDescent="0.25">
      <c r="A91" s="256"/>
      <c r="B91" s="248"/>
      <c r="C91" s="51">
        <v>4</v>
      </c>
      <c r="D91" s="66">
        <v>45160</v>
      </c>
      <c r="E91" s="66">
        <v>46315</v>
      </c>
      <c r="F91" s="62" t="s">
        <v>414</v>
      </c>
      <c r="G91" s="117" t="s">
        <v>415</v>
      </c>
      <c r="H91" s="118" t="s">
        <v>416</v>
      </c>
      <c r="I91" s="119" t="s">
        <v>417</v>
      </c>
      <c r="J91" s="120" t="s">
        <v>441</v>
      </c>
      <c r="K91" s="120" t="s">
        <v>442</v>
      </c>
      <c r="L91" s="58">
        <v>135.91</v>
      </c>
    </row>
    <row r="92" spans="1:14" ht="14.25" customHeight="1" x14ac:dyDescent="0.25">
      <c r="A92" s="256"/>
      <c r="B92" s="248"/>
      <c r="C92" s="51">
        <v>5</v>
      </c>
      <c r="D92" s="66">
        <v>45651</v>
      </c>
      <c r="E92" s="66">
        <v>46015</v>
      </c>
      <c r="F92" s="62" t="s">
        <v>438</v>
      </c>
      <c r="G92" s="67" t="s">
        <v>421</v>
      </c>
      <c r="H92" s="123" t="s">
        <v>422</v>
      </c>
      <c r="I92" s="73" t="s">
        <v>423</v>
      </c>
      <c r="J92" s="119" t="s">
        <v>439</v>
      </c>
      <c r="K92" s="119" t="s">
        <v>440</v>
      </c>
      <c r="L92" s="69">
        <v>195</v>
      </c>
    </row>
    <row r="93" spans="1:14" ht="14.25" customHeight="1" x14ac:dyDescent="0.25">
      <c r="A93" s="252" t="s">
        <v>664</v>
      </c>
      <c r="B93" s="249" t="s">
        <v>262</v>
      </c>
      <c r="C93" s="51">
        <v>1</v>
      </c>
      <c r="D93" s="68">
        <v>45628</v>
      </c>
      <c r="E93" s="68">
        <v>45992</v>
      </c>
      <c r="F93" s="64" t="s">
        <v>420</v>
      </c>
      <c r="G93" s="112" t="s">
        <v>421</v>
      </c>
      <c r="H93" s="122" t="s">
        <v>422</v>
      </c>
      <c r="I93" s="120" t="s">
        <v>423</v>
      </c>
      <c r="J93" s="120" t="s">
        <v>424</v>
      </c>
      <c r="K93" s="120" t="s">
        <v>425</v>
      </c>
      <c r="L93" s="58">
        <v>149.9</v>
      </c>
    </row>
    <row r="94" spans="1:14" ht="14.25" customHeight="1" x14ac:dyDescent="0.25">
      <c r="A94" s="252"/>
      <c r="B94" s="250"/>
      <c r="C94" s="51">
        <v>2</v>
      </c>
      <c r="D94" s="68"/>
      <c r="E94" s="68"/>
      <c r="F94" s="64"/>
      <c r="G94" s="112"/>
      <c r="H94" s="122"/>
      <c r="I94" s="120"/>
      <c r="J94" s="120"/>
      <c r="K94" s="120"/>
      <c r="L94" s="58"/>
    </row>
    <row r="95" spans="1:14" ht="14.25" customHeight="1" x14ac:dyDescent="0.25">
      <c r="A95" s="252"/>
      <c r="B95" s="250"/>
      <c r="C95" s="51">
        <v>3</v>
      </c>
      <c r="D95" s="68">
        <v>45854</v>
      </c>
      <c r="E95" s="68">
        <v>46219</v>
      </c>
      <c r="F95" s="64" t="s">
        <v>449</v>
      </c>
      <c r="G95" s="112" t="s">
        <v>450</v>
      </c>
      <c r="H95" s="122" t="s">
        <v>451</v>
      </c>
      <c r="I95" s="120" t="s">
        <v>452</v>
      </c>
      <c r="J95" s="64" t="s">
        <v>465</v>
      </c>
      <c r="K95" s="120" t="s">
        <v>466</v>
      </c>
      <c r="L95" s="58">
        <v>200</v>
      </c>
    </row>
    <row r="96" spans="1:14" ht="14.25" customHeight="1" x14ac:dyDescent="0.25">
      <c r="A96" s="252"/>
      <c r="B96" s="250"/>
      <c r="C96" s="51">
        <v>4</v>
      </c>
      <c r="D96" s="66">
        <v>45651</v>
      </c>
      <c r="E96" s="66">
        <v>46015</v>
      </c>
      <c r="F96" s="62" t="s">
        <v>438</v>
      </c>
      <c r="G96" s="117" t="s">
        <v>421</v>
      </c>
      <c r="H96" s="118" t="s">
        <v>422</v>
      </c>
      <c r="I96" s="119" t="s">
        <v>423</v>
      </c>
      <c r="J96" s="119" t="s">
        <v>439</v>
      </c>
      <c r="K96" s="119" t="s">
        <v>440</v>
      </c>
      <c r="L96" s="58">
        <v>135.06</v>
      </c>
    </row>
    <row r="97" spans="1:12" ht="14.25" customHeight="1" x14ac:dyDescent="0.25">
      <c r="A97" s="252"/>
      <c r="B97" s="251"/>
      <c r="C97" s="51">
        <v>5</v>
      </c>
      <c r="D97" s="68">
        <v>45876</v>
      </c>
      <c r="E97" s="68">
        <f t="shared" ref="E97:E102" si="5">D97+180</f>
        <v>46056</v>
      </c>
      <c r="F97" s="64" t="s">
        <v>502</v>
      </c>
      <c r="G97" s="112" t="s">
        <v>467</v>
      </c>
      <c r="H97" s="122" t="s">
        <v>468</v>
      </c>
      <c r="I97" s="120" t="s">
        <v>469</v>
      </c>
      <c r="J97" s="246" t="s">
        <v>288</v>
      </c>
      <c r="K97" s="247"/>
      <c r="L97" s="58">
        <v>141.12</v>
      </c>
    </row>
    <row r="98" spans="1:12" ht="14.25" customHeight="1" x14ac:dyDescent="0.25">
      <c r="A98" s="252" t="s">
        <v>160</v>
      </c>
      <c r="B98" s="248" t="s">
        <v>179</v>
      </c>
      <c r="C98" s="51">
        <v>1</v>
      </c>
      <c r="D98" s="68">
        <v>45876</v>
      </c>
      <c r="E98" s="68">
        <f t="shared" si="5"/>
        <v>46056</v>
      </c>
      <c r="F98" s="64" t="s">
        <v>470</v>
      </c>
      <c r="G98" s="112" t="s">
        <v>471</v>
      </c>
      <c r="H98" s="122" t="s">
        <v>472</v>
      </c>
      <c r="I98" s="120" t="s">
        <v>473</v>
      </c>
      <c r="J98" s="246" t="s">
        <v>288</v>
      </c>
      <c r="K98" s="247"/>
      <c r="L98" s="71">
        <v>124.07</v>
      </c>
    </row>
    <row r="99" spans="1:12" ht="14.25" customHeight="1" x14ac:dyDescent="0.25">
      <c r="A99" s="252"/>
      <c r="B99" s="248"/>
      <c r="C99" s="51">
        <v>2</v>
      </c>
      <c r="D99" s="68">
        <v>45876</v>
      </c>
      <c r="E99" s="68">
        <f t="shared" si="5"/>
        <v>46056</v>
      </c>
      <c r="F99" s="64" t="s">
        <v>474</v>
      </c>
      <c r="G99" s="112" t="s">
        <v>475</v>
      </c>
      <c r="H99" s="122" t="s">
        <v>476</v>
      </c>
      <c r="I99" s="120" t="s">
        <v>477</v>
      </c>
      <c r="J99" s="246" t="s">
        <v>288</v>
      </c>
      <c r="K99" s="247"/>
      <c r="L99" s="71">
        <v>113.32</v>
      </c>
    </row>
    <row r="100" spans="1:12" ht="14.25" customHeight="1" x14ac:dyDescent="0.25">
      <c r="A100" s="252"/>
      <c r="B100" s="248"/>
      <c r="C100" s="51">
        <v>3</v>
      </c>
      <c r="D100" s="68">
        <v>45876</v>
      </c>
      <c r="E100" s="68">
        <f t="shared" si="5"/>
        <v>46056</v>
      </c>
      <c r="F100" s="64" t="s">
        <v>478</v>
      </c>
      <c r="G100" s="112" t="s">
        <v>479</v>
      </c>
      <c r="H100" s="122" t="s">
        <v>480</v>
      </c>
      <c r="I100" s="120" t="s">
        <v>481</v>
      </c>
      <c r="J100" s="246" t="s">
        <v>288</v>
      </c>
      <c r="K100" s="247"/>
      <c r="L100" s="71">
        <v>181.83</v>
      </c>
    </row>
    <row r="101" spans="1:12" ht="14.25" customHeight="1" x14ac:dyDescent="0.25">
      <c r="A101" s="252"/>
      <c r="B101" s="248"/>
      <c r="C101" s="51">
        <v>4</v>
      </c>
      <c r="D101" s="68">
        <v>45876</v>
      </c>
      <c r="E101" s="68">
        <f t="shared" si="5"/>
        <v>46056</v>
      </c>
      <c r="F101" s="64" t="s">
        <v>482</v>
      </c>
      <c r="G101" s="112" t="s">
        <v>483</v>
      </c>
      <c r="H101" s="122" t="s">
        <v>484</v>
      </c>
      <c r="I101" s="120" t="s">
        <v>485</v>
      </c>
      <c r="J101" s="246" t="s">
        <v>288</v>
      </c>
      <c r="K101" s="247"/>
      <c r="L101" s="71">
        <v>155.80000000000001</v>
      </c>
    </row>
    <row r="102" spans="1:12" ht="14.25" customHeight="1" x14ac:dyDescent="0.25">
      <c r="A102" s="252"/>
      <c r="B102" s="248"/>
      <c r="C102" s="51">
        <v>5</v>
      </c>
      <c r="D102" s="68">
        <v>45876</v>
      </c>
      <c r="E102" s="68">
        <f t="shared" si="5"/>
        <v>46056</v>
      </c>
      <c r="F102" s="64" t="s">
        <v>486</v>
      </c>
      <c r="G102" s="112" t="s">
        <v>487</v>
      </c>
      <c r="H102" s="122" t="s">
        <v>488</v>
      </c>
      <c r="I102" s="120" t="s">
        <v>489</v>
      </c>
      <c r="J102" s="246" t="s">
        <v>288</v>
      </c>
      <c r="K102" s="247"/>
      <c r="L102" s="72">
        <v>199.9</v>
      </c>
    </row>
    <row r="103" spans="1:12" ht="14.25" customHeight="1" x14ac:dyDescent="0.25">
      <c r="A103" s="252"/>
      <c r="B103" s="248" t="s">
        <v>209</v>
      </c>
      <c r="C103" s="51">
        <v>1</v>
      </c>
      <c r="D103" s="66">
        <v>45911</v>
      </c>
      <c r="E103" s="66">
        <f>D103+180</f>
        <v>46091</v>
      </c>
      <c r="F103" s="62" t="s">
        <v>544</v>
      </c>
      <c r="G103" s="117" t="s">
        <v>545</v>
      </c>
      <c r="H103" s="118" t="s">
        <v>546</v>
      </c>
      <c r="I103" s="119" t="s">
        <v>547</v>
      </c>
      <c r="J103" s="246" t="s">
        <v>288</v>
      </c>
      <c r="K103" s="247"/>
      <c r="L103" s="116">
        <v>17.75</v>
      </c>
    </row>
    <row r="104" spans="1:12" ht="14.25" customHeight="1" x14ac:dyDescent="0.25">
      <c r="A104" s="252"/>
      <c r="B104" s="248"/>
      <c r="C104" s="51">
        <v>2</v>
      </c>
      <c r="D104" s="66">
        <v>45912</v>
      </c>
      <c r="E104" s="66">
        <f t="shared" ref="E104:E107" si="6">D104+180</f>
        <v>46092</v>
      </c>
      <c r="F104" s="62" t="s">
        <v>548</v>
      </c>
      <c r="G104" s="117" t="s">
        <v>549</v>
      </c>
      <c r="H104" s="118" t="s">
        <v>550</v>
      </c>
      <c r="I104" s="119" t="s">
        <v>551</v>
      </c>
      <c r="J104" s="246" t="s">
        <v>288</v>
      </c>
      <c r="K104" s="247"/>
      <c r="L104" s="116">
        <v>39.68</v>
      </c>
    </row>
    <row r="105" spans="1:12" ht="14.25" customHeight="1" x14ac:dyDescent="0.25">
      <c r="A105" s="252"/>
      <c r="B105" s="248"/>
      <c r="C105" s="51">
        <v>3</v>
      </c>
      <c r="D105" s="66">
        <v>45913</v>
      </c>
      <c r="E105" s="66">
        <f t="shared" si="6"/>
        <v>46093</v>
      </c>
      <c r="F105" s="62" t="s">
        <v>552</v>
      </c>
      <c r="G105" s="117" t="s">
        <v>553</v>
      </c>
      <c r="H105" s="118" t="s">
        <v>554</v>
      </c>
      <c r="I105" s="119" t="s">
        <v>555</v>
      </c>
      <c r="J105" s="246" t="s">
        <v>288</v>
      </c>
      <c r="K105" s="247"/>
      <c r="L105" s="116">
        <v>48.73</v>
      </c>
    </row>
    <row r="106" spans="1:12" ht="14.25" customHeight="1" x14ac:dyDescent="0.25">
      <c r="A106" s="252"/>
      <c r="B106" s="248"/>
      <c r="C106" s="51">
        <v>4</v>
      </c>
      <c r="D106" s="66">
        <v>45914</v>
      </c>
      <c r="E106" s="66">
        <f t="shared" si="6"/>
        <v>46094</v>
      </c>
      <c r="F106" s="62" t="s">
        <v>556</v>
      </c>
      <c r="G106" s="117" t="s">
        <v>557</v>
      </c>
      <c r="H106" s="118" t="s">
        <v>558</v>
      </c>
      <c r="I106" s="119" t="s">
        <v>559</v>
      </c>
      <c r="J106" s="246" t="s">
        <v>288</v>
      </c>
      <c r="K106" s="247"/>
      <c r="L106" s="116">
        <v>21.82</v>
      </c>
    </row>
    <row r="107" spans="1:12" ht="14.25" customHeight="1" x14ac:dyDescent="0.25">
      <c r="A107" s="252"/>
      <c r="B107" s="248"/>
      <c r="C107" s="51">
        <v>5</v>
      </c>
      <c r="D107" s="66">
        <v>45915</v>
      </c>
      <c r="E107" s="66">
        <f t="shared" si="6"/>
        <v>46095</v>
      </c>
      <c r="F107" s="62" t="s">
        <v>560</v>
      </c>
      <c r="G107" s="117" t="s">
        <v>561</v>
      </c>
      <c r="H107" s="118" t="s">
        <v>562</v>
      </c>
      <c r="I107" s="119" t="s">
        <v>563</v>
      </c>
      <c r="J107" s="246" t="s">
        <v>288</v>
      </c>
      <c r="K107" s="247"/>
      <c r="L107" s="116">
        <v>31.25</v>
      </c>
    </row>
    <row r="108" spans="1:12" ht="14.25" customHeight="1" x14ac:dyDescent="0.25">
      <c r="A108" s="252"/>
      <c r="B108" s="248" t="s">
        <v>235</v>
      </c>
      <c r="C108" s="51">
        <v>1</v>
      </c>
      <c r="D108" s="68">
        <v>44958</v>
      </c>
      <c r="E108" s="68">
        <v>46054</v>
      </c>
      <c r="F108" s="64" t="s">
        <v>443</v>
      </c>
      <c r="G108" s="112" t="s">
        <v>444</v>
      </c>
      <c r="H108" s="122" t="s">
        <v>445</v>
      </c>
      <c r="I108" s="120" t="s">
        <v>446</v>
      </c>
      <c r="J108" s="120" t="s">
        <v>447</v>
      </c>
      <c r="K108" s="120" t="s">
        <v>448</v>
      </c>
      <c r="L108" s="58">
        <v>34.6</v>
      </c>
    </row>
    <row r="109" spans="1:12" ht="14.25" customHeight="1" x14ac:dyDescent="0.25">
      <c r="A109" s="252"/>
      <c r="B109" s="248"/>
      <c r="C109" s="51">
        <v>2</v>
      </c>
      <c r="D109" s="68">
        <v>45736</v>
      </c>
      <c r="E109" s="68">
        <v>46101</v>
      </c>
      <c r="F109" s="64" t="s">
        <v>432</v>
      </c>
      <c r="G109" s="112" t="s">
        <v>433</v>
      </c>
      <c r="H109" s="122" t="s">
        <v>434</v>
      </c>
      <c r="I109" s="120" t="s">
        <v>435</v>
      </c>
      <c r="J109" s="120" t="s">
        <v>461</v>
      </c>
      <c r="K109" s="120" t="s">
        <v>462</v>
      </c>
      <c r="L109" s="58">
        <v>20</v>
      </c>
    </row>
    <row r="110" spans="1:12" ht="14.25" customHeight="1" x14ac:dyDescent="0.25">
      <c r="A110" s="252"/>
      <c r="B110" s="248"/>
      <c r="C110" s="51">
        <v>3</v>
      </c>
      <c r="D110" s="68">
        <v>45736</v>
      </c>
      <c r="E110" s="68">
        <v>49388</v>
      </c>
      <c r="F110" s="64" t="s">
        <v>432</v>
      </c>
      <c r="G110" s="112" t="s">
        <v>433</v>
      </c>
      <c r="H110" s="122" t="s">
        <v>434</v>
      </c>
      <c r="I110" s="120" t="s">
        <v>435</v>
      </c>
      <c r="J110" s="120" t="s">
        <v>463</v>
      </c>
      <c r="K110" s="53" t="s">
        <v>464</v>
      </c>
      <c r="L110" s="58">
        <v>20</v>
      </c>
    </row>
    <row r="111" spans="1:12" ht="14.25" customHeight="1" x14ac:dyDescent="0.25">
      <c r="A111" s="252"/>
      <c r="B111" s="248"/>
      <c r="C111" s="51">
        <v>4</v>
      </c>
      <c r="D111" s="68">
        <v>45876</v>
      </c>
      <c r="E111" s="68">
        <f>D111+180</f>
        <v>46056</v>
      </c>
      <c r="F111" s="64" t="s">
        <v>490</v>
      </c>
      <c r="G111" s="112" t="s">
        <v>491</v>
      </c>
      <c r="H111" s="122" t="s">
        <v>492</v>
      </c>
      <c r="I111" s="120" t="s">
        <v>493</v>
      </c>
      <c r="J111" s="246" t="s">
        <v>288</v>
      </c>
      <c r="K111" s="247"/>
      <c r="L111" s="58">
        <v>45.25</v>
      </c>
    </row>
    <row r="112" spans="1:12" ht="14.25" customHeight="1" x14ac:dyDescent="0.25">
      <c r="A112" s="252"/>
      <c r="B112" s="248"/>
      <c r="C112" s="51">
        <v>5</v>
      </c>
      <c r="D112" s="68">
        <v>45876</v>
      </c>
      <c r="E112" s="68">
        <f>D112+180</f>
        <v>46056</v>
      </c>
      <c r="F112" s="64" t="s">
        <v>494</v>
      </c>
      <c r="G112" s="79" t="s">
        <v>495</v>
      </c>
      <c r="H112" s="122" t="s">
        <v>496</v>
      </c>
      <c r="I112" s="120" t="s">
        <v>497</v>
      </c>
      <c r="J112" s="246" t="s">
        <v>288</v>
      </c>
      <c r="K112" s="247"/>
      <c r="L112" s="58">
        <v>53.54</v>
      </c>
    </row>
    <row r="113" spans="1:12" ht="14.25" customHeight="1" x14ac:dyDescent="0.25">
      <c r="A113" s="252"/>
      <c r="B113" s="253" t="s">
        <v>262</v>
      </c>
      <c r="C113" s="51">
        <v>1</v>
      </c>
      <c r="D113" s="68">
        <v>44958</v>
      </c>
      <c r="E113" s="68">
        <v>46054</v>
      </c>
      <c r="F113" s="64" t="s">
        <v>443</v>
      </c>
      <c r="G113" s="112" t="s">
        <v>444</v>
      </c>
      <c r="H113" s="122" t="s">
        <v>445</v>
      </c>
      <c r="I113" s="120" t="s">
        <v>446</v>
      </c>
      <c r="J113" s="120" t="s">
        <v>447</v>
      </c>
      <c r="K113" s="120" t="s">
        <v>448</v>
      </c>
      <c r="L113" s="58">
        <v>134.05000000000001</v>
      </c>
    </row>
    <row r="114" spans="1:12" ht="14.25" customHeight="1" x14ac:dyDescent="0.25">
      <c r="A114" s="252"/>
      <c r="B114" s="253"/>
      <c r="C114" s="51">
        <v>2</v>
      </c>
      <c r="D114" s="68">
        <v>45628</v>
      </c>
      <c r="E114" s="68">
        <v>45992</v>
      </c>
      <c r="F114" s="64" t="s">
        <v>420</v>
      </c>
      <c r="G114" s="112" t="s">
        <v>421</v>
      </c>
      <c r="H114" s="122" t="s">
        <v>422</v>
      </c>
      <c r="I114" s="120" t="s">
        <v>423</v>
      </c>
      <c r="J114" s="120" t="s">
        <v>424</v>
      </c>
      <c r="K114" s="120" t="s">
        <v>425</v>
      </c>
      <c r="L114" s="58">
        <v>42</v>
      </c>
    </row>
    <row r="115" spans="1:12" ht="14.25" customHeight="1" x14ac:dyDescent="0.25">
      <c r="A115" s="252"/>
      <c r="B115" s="253"/>
      <c r="C115" s="51">
        <v>3</v>
      </c>
      <c r="D115" s="68">
        <v>45854</v>
      </c>
      <c r="E115" s="68">
        <v>46219</v>
      </c>
      <c r="F115" s="64" t="s">
        <v>449</v>
      </c>
      <c r="G115" s="112" t="s">
        <v>450</v>
      </c>
      <c r="H115" s="122" t="s">
        <v>451</v>
      </c>
      <c r="I115" s="120" t="s">
        <v>452</v>
      </c>
      <c r="J115" s="64" t="s">
        <v>465</v>
      </c>
      <c r="K115" s="120" t="s">
        <v>466</v>
      </c>
      <c r="L115" s="58">
        <v>35</v>
      </c>
    </row>
    <row r="116" spans="1:12" ht="14.25" customHeight="1" x14ac:dyDescent="0.25">
      <c r="A116" s="252"/>
      <c r="B116" s="253"/>
      <c r="C116" s="51">
        <v>4</v>
      </c>
      <c r="D116" s="68">
        <v>45736</v>
      </c>
      <c r="E116" s="68">
        <v>49388</v>
      </c>
      <c r="F116" s="64" t="s">
        <v>432</v>
      </c>
      <c r="G116" s="112" t="s">
        <v>433</v>
      </c>
      <c r="H116" s="122" t="s">
        <v>434</v>
      </c>
      <c r="I116" s="120" t="s">
        <v>435</v>
      </c>
      <c r="J116" s="120" t="s">
        <v>463</v>
      </c>
      <c r="K116" s="53" t="s">
        <v>464</v>
      </c>
      <c r="L116" s="71">
        <v>20</v>
      </c>
    </row>
    <row r="117" spans="1:12" ht="14.25" customHeight="1" x14ac:dyDescent="0.25">
      <c r="A117" s="252"/>
      <c r="B117" s="253"/>
      <c r="C117" s="51">
        <v>5</v>
      </c>
      <c r="D117" s="68">
        <v>45160</v>
      </c>
      <c r="E117" s="68">
        <v>46315</v>
      </c>
      <c r="F117" s="64" t="s">
        <v>414</v>
      </c>
      <c r="G117" s="112" t="s">
        <v>415</v>
      </c>
      <c r="H117" s="122" t="s">
        <v>416</v>
      </c>
      <c r="I117" s="120" t="s">
        <v>417</v>
      </c>
      <c r="J117" s="120" t="s">
        <v>441</v>
      </c>
      <c r="K117" s="120" t="s">
        <v>442</v>
      </c>
      <c r="L117" s="71">
        <v>25.66</v>
      </c>
    </row>
    <row r="118" spans="1:12" ht="14.25" customHeight="1" x14ac:dyDescent="0.25">
      <c r="A118" s="252"/>
      <c r="B118" s="254" t="s">
        <v>283</v>
      </c>
      <c r="C118" s="51">
        <v>1</v>
      </c>
      <c r="D118" s="66">
        <v>45916</v>
      </c>
      <c r="E118" s="66">
        <f t="shared" ref="E118:E132" si="7">D118+180</f>
        <v>46096</v>
      </c>
      <c r="F118" s="62" t="s">
        <v>585</v>
      </c>
      <c r="G118" s="117" t="s">
        <v>586</v>
      </c>
      <c r="H118" s="118" t="s">
        <v>587</v>
      </c>
      <c r="I118" s="119" t="s">
        <v>588</v>
      </c>
      <c r="J118" s="246" t="s">
        <v>288</v>
      </c>
      <c r="K118" s="247"/>
      <c r="L118" s="116">
        <v>211.49</v>
      </c>
    </row>
    <row r="119" spans="1:12" ht="14.25" customHeight="1" x14ac:dyDescent="0.25">
      <c r="A119" s="252"/>
      <c r="B119" s="253"/>
      <c r="C119" s="51">
        <v>2</v>
      </c>
      <c r="D119" s="66">
        <v>45917</v>
      </c>
      <c r="E119" s="66">
        <f t="shared" si="7"/>
        <v>46097</v>
      </c>
      <c r="F119" s="62" t="s">
        <v>646</v>
      </c>
      <c r="G119" s="117" t="s">
        <v>647</v>
      </c>
      <c r="H119" s="118" t="s">
        <v>648</v>
      </c>
      <c r="I119" s="119" t="s">
        <v>649</v>
      </c>
      <c r="J119" s="246" t="s">
        <v>288</v>
      </c>
      <c r="K119" s="247"/>
      <c r="L119" s="116">
        <v>248.41</v>
      </c>
    </row>
    <row r="120" spans="1:12" ht="14.25" customHeight="1" x14ac:dyDescent="0.25">
      <c r="A120" s="252"/>
      <c r="B120" s="253"/>
      <c r="C120" s="51">
        <v>3</v>
      </c>
      <c r="D120" s="66">
        <v>45918</v>
      </c>
      <c r="E120" s="66">
        <f t="shared" si="7"/>
        <v>46098</v>
      </c>
      <c r="F120" s="62" t="s">
        <v>650</v>
      </c>
      <c r="G120" s="117" t="s">
        <v>651</v>
      </c>
      <c r="H120" s="118" t="s">
        <v>652</v>
      </c>
      <c r="I120" s="119" t="s">
        <v>653</v>
      </c>
      <c r="J120" s="246" t="s">
        <v>288</v>
      </c>
      <c r="K120" s="247"/>
      <c r="L120" s="116">
        <v>274.83999999999997</v>
      </c>
    </row>
    <row r="121" spans="1:12" ht="14.25" customHeight="1" x14ac:dyDescent="0.25">
      <c r="A121" s="252"/>
      <c r="B121" s="253"/>
      <c r="C121" s="51">
        <v>4</v>
      </c>
      <c r="D121" s="66">
        <v>45919</v>
      </c>
      <c r="E121" s="66">
        <f t="shared" si="7"/>
        <v>46099</v>
      </c>
      <c r="F121" s="62" t="s">
        <v>654</v>
      </c>
      <c r="G121" s="117" t="s">
        <v>655</v>
      </c>
      <c r="H121" s="118" t="s">
        <v>656</v>
      </c>
      <c r="I121" s="119" t="s">
        <v>657</v>
      </c>
      <c r="J121" s="246" t="s">
        <v>288</v>
      </c>
      <c r="K121" s="247"/>
      <c r="L121" s="116">
        <v>257.58</v>
      </c>
    </row>
    <row r="122" spans="1:12" ht="14.25" customHeight="1" x14ac:dyDescent="0.25">
      <c r="A122" s="252"/>
      <c r="B122" s="253"/>
      <c r="C122" s="51">
        <v>5</v>
      </c>
      <c r="D122" s="66">
        <v>45920</v>
      </c>
      <c r="E122" s="66">
        <f t="shared" si="7"/>
        <v>46100</v>
      </c>
      <c r="F122" s="62" t="s">
        <v>658</v>
      </c>
      <c r="G122" s="117" t="s">
        <v>659</v>
      </c>
      <c r="H122" s="118" t="s">
        <v>660</v>
      </c>
      <c r="I122" s="119" t="s">
        <v>661</v>
      </c>
      <c r="J122" s="246" t="s">
        <v>288</v>
      </c>
      <c r="K122" s="247"/>
      <c r="L122" s="116">
        <v>314.11</v>
      </c>
    </row>
    <row r="123" spans="1:12" ht="14.25" customHeight="1" x14ac:dyDescent="0.25">
      <c r="A123" s="252"/>
      <c r="B123" s="254" t="s">
        <v>583</v>
      </c>
      <c r="C123" s="51">
        <v>1</v>
      </c>
      <c r="D123" s="66">
        <v>45916</v>
      </c>
      <c r="E123" s="66">
        <f t="shared" si="7"/>
        <v>46096</v>
      </c>
      <c r="F123" s="62" t="s">
        <v>564</v>
      </c>
      <c r="G123" s="117" t="s">
        <v>565</v>
      </c>
      <c r="H123" s="118" t="s">
        <v>566</v>
      </c>
      <c r="I123" s="119" t="s">
        <v>567</v>
      </c>
      <c r="J123" s="246" t="s">
        <v>288</v>
      </c>
      <c r="K123" s="247"/>
      <c r="L123" s="116">
        <v>92.71</v>
      </c>
    </row>
    <row r="124" spans="1:12" ht="14.25" customHeight="1" x14ac:dyDescent="0.25">
      <c r="A124" s="252"/>
      <c r="B124" s="253"/>
      <c r="C124" s="51">
        <v>2</v>
      </c>
      <c r="D124" s="66">
        <v>45917</v>
      </c>
      <c r="E124" s="66">
        <f t="shared" si="7"/>
        <v>46097</v>
      </c>
      <c r="F124" s="62" t="s">
        <v>568</v>
      </c>
      <c r="G124" s="117" t="s">
        <v>569</v>
      </c>
      <c r="H124" s="118" t="s">
        <v>570</v>
      </c>
      <c r="I124" s="119" t="s">
        <v>497</v>
      </c>
      <c r="J124" s="246" t="s">
        <v>288</v>
      </c>
      <c r="K124" s="247"/>
      <c r="L124" s="116">
        <v>125.23</v>
      </c>
    </row>
    <row r="125" spans="1:12" ht="14.25" customHeight="1" x14ac:dyDescent="0.25">
      <c r="A125" s="252"/>
      <c r="B125" s="253"/>
      <c r="C125" s="51">
        <v>3</v>
      </c>
      <c r="D125" s="66">
        <v>45918</v>
      </c>
      <c r="E125" s="66">
        <f t="shared" si="7"/>
        <v>46098</v>
      </c>
      <c r="F125" s="62" t="s">
        <v>571</v>
      </c>
      <c r="G125" s="117" t="s">
        <v>572</v>
      </c>
      <c r="H125" s="118" t="s">
        <v>573</v>
      </c>
      <c r="I125" s="119" t="s">
        <v>574</v>
      </c>
      <c r="J125" s="246" t="s">
        <v>288</v>
      </c>
      <c r="K125" s="247"/>
      <c r="L125" s="116">
        <v>74.39</v>
      </c>
    </row>
    <row r="126" spans="1:12" ht="14.25" customHeight="1" x14ac:dyDescent="0.25">
      <c r="A126" s="252"/>
      <c r="B126" s="253"/>
      <c r="C126" s="51">
        <v>4</v>
      </c>
      <c r="D126" s="66">
        <v>45919</v>
      </c>
      <c r="E126" s="66">
        <f t="shared" si="7"/>
        <v>46099</v>
      </c>
      <c r="F126" s="62" t="s">
        <v>575</v>
      </c>
      <c r="G126" s="117" t="s">
        <v>576</v>
      </c>
      <c r="H126" s="118" t="s">
        <v>577</v>
      </c>
      <c r="I126" s="119" t="s">
        <v>578</v>
      </c>
      <c r="J126" s="246" t="s">
        <v>288</v>
      </c>
      <c r="K126" s="247"/>
      <c r="L126" s="116">
        <v>94.35</v>
      </c>
    </row>
    <row r="127" spans="1:12" ht="14.25" customHeight="1" x14ac:dyDescent="0.25">
      <c r="A127" s="252"/>
      <c r="B127" s="253"/>
      <c r="C127" s="51">
        <v>5</v>
      </c>
      <c r="D127" s="66">
        <v>45920</v>
      </c>
      <c r="E127" s="66">
        <f t="shared" si="7"/>
        <v>46100</v>
      </c>
      <c r="F127" s="62" t="s">
        <v>579</v>
      </c>
      <c r="G127" s="117" t="s">
        <v>580</v>
      </c>
      <c r="H127" s="118" t="s">
        <v>581</v>
      </c>
      <c r="I127" s="119" t="s">
        <v>582</v>
      </c>
      <c r="J127" s="246" t="s">
        <v>288</v>
      </c>
      <c r="K127" s="247"/>
      <c r="L127" s="116">
        <v>94.25</v>
      </c>
    </row>
    <row r="128" spans="1:12" ht="14.25" customHeight="1" x14ac:dyDescent="0.25">
      <c r="A128" s="252"/>
      <c r="B128" s="260" t="s">
        <v>584</v>
      </c>
      <c r="C128" s="51">
        <v>1</v>
      </c>
      <c r="D128" s="66">
        <v>45916</v>
      </c>
      <c r="E128" s="66">
        <f t="shared" si="7"/>
        <v>46096</v>
      </c>
      <c r="F128" s="62" t="s">
        <v>585</v>
      </c>
      <c r="G128" s="117" t="s">
        <v>586</v>
      </c>
      <c r="H128" s="118" t="s">
        <v>587</v>
      </c>
      <c r="I128" s="119" t="s">
        <v>588</v>
      </c>
      <c r="J128" s="246" t="s">
        <v>288</v>
      </c>
      <c r="K128" s="247"/>
      <c r="L128" s="116">
        <v>233.41</v>
      </c>
    </row>
    <row r="129" spans="1:12" ht="14.25" customHeight="1" x14ac:dyDescent="0.25">
      <c r="A129" s="252"/>
      <c r="B129" s="248"/>
      <c r="C129" s="51">
        <v>2</v>
      </c>
      <c r="D129" s="66">
        <v>45917</v>
      </c>
      <c r="E129" s="66">
        <f t="shared" si="7"/>
        <v>46097</v>
      </c>
      <c r="F129" s="62" t="s">
        <v>589</v>
      </c>
      <c r="G129" s="117" t="s">
        <v>590</v>
      </c>
      <c r="H129" s="118" t="s">
        <v>591</v>
      </c>
      <c r="I129" s="119" t="s">
        <v>592</v>
      </c>
      <c r="J129" s="246" t="s">
        <v>288</v>
      </c>
      <c r="K129" s="247"/>
      <c r="L129" s="116">
        <v>103.54</v>
      </c>
    </row>
    <row r="130" spans="1:12" ht="14.25" customHeight="1" x14ac:dyDescent="0.25">
      <c r="A130" s="252"/>
      <c r="B130" s="248"/>
      <c r="C130" s="51">
        <v>3</v>
      </c>
      <c r="D130" s="66">
        <v>45918</v>
      </c>
      <c r="E130" s="66">
        <f t="shared" si="7"/>
        <v>46098</v>
      </c>
      <c r="F130" s="62" t="s">
        <v>593</v>
      </c>
      <c r="G130" s="117" t="s">
        <v>594</v>
      </c>
      <c r="H130" s="118" t="s">
        <v>595</v>
      </c>
      <c r="I130" s="119" t="s">
        <v>596</v>
      </c>
      <c r="J130" s="246" t="s">
        <v>288</v>
      </c>
      <c r="K130" s="247"/>
      <c r="L130" s="116">
        <v>362.24</v>
      </c>
    </row>
    <row r="131" spans="1:12" ht="14.25" customHeight="1" x14ac:dyDescent="0.25">
      <c r="A131" s="252"/>
      <c r="B131" s="248"/>
      <c r="C131" s="51">
        <v>4</v>
      </c>
      <c r="D131" s="66">
        <v>45919</v>
      </c>
      <c r="E131" s="66">
        <f t="shared" si="7"/>
        <v>46099</v>
      </c>
      <c r="F131" s="62" t="s">
        <v>597</v>
      </c>
      <c r="G131" s="117" t="s">
        <v>598</v>
      </c>
      <c r="H131" s="118" t="s">
        <v>599</v>
      </c>
      <c r="I131" s="119" t="s">
        <v>600</v>
      </c>
      <c r="J131" s="246" t="s">
        <v>288</v>
      </c>
      <c r="K131" s="247"/>
      <c r="L131" s="116">
        <v>317.08999999999997</v>
      </c>
    </row>
    <row r="132" spans="1:12" ht="14.25" customHeight="1" x14ac:dyDescent="0.25">
      <c r="A132" s="252"/>
      <c r="B132" s="248"/>
      <c r="C132" s="51">
        <v>5</v>
      </c>
      <c r="D132" s="66">
        <v>45920</v>
      </c>
      <c r="E132" s="66">
        <f t="shared" si="7"/>
        <v>46100</v>
      </c>
      <c r="F132" s="62" t="s">
        <v>601</v>
      </c>
      <c r="G132" s="117" t="s">
        <v>602</v>
      </c>
      <c r="H132" s="118" t="s">
        <v>603</v>
      </c>
      <c r="I132" s="119" t="s">
        <v>604</v>
      </c>
      <c r="J132" s="246" t="s">
        <v>288</v>
      </c>
      <c r="K132" s="247"/>
      <c r="L132" s="116">
        <v>323.38</v>
      </c>
    </row>
    <row r="133" spans="1:12" ht="14.25" customHeight="1" x14ac:dyDescent="0.25">
      <c r="A133" s="252"/>
      <c r="B133" s="248" t="s">
        <v>498</v>
      </c>
      <c r="C133" s="51">
        <v>1</v>
      </c>
      <c r="D133" s="68">
        <v>44958</v>
      </c>
      <c r="E133" s="68">
        <v>46054</v>
      </c>
      <c r="F133" s="64" t="s">
        <v>443</v>
      </c>
      <c r="G133" s="112" t="s">
        <v>444</v>
      </c>
      <c r="H133" s="122" t="s">
        <v>445</v>
      </c>
      <c r="I133" s="120" t="s">
        <v>446</v>
      </c>
      <c r="J133" s="120" t="s">
        <v>447</v>
      </c>
      <c r="K133" s="120" t="s">
        <v>448</v>
      </c>
      <c r="L133" s="71">
        <v>112.5</v>
      </c>
    </row>
    <row r="134" spans="1:12" ht="14.25" customHeight="1" x14ac:dyDescent="0.25">
      <c r="A134" s="252"/>
      <c r="B134" s="248"/>
      <c r="C134" s="51">
        <v>2</v>
      </c>
      <c r="D134" s="68">
        <v>45628</v>
      </c>
      <c r="E134" s="68">
        <v>45992</v>
      </c>
      <c r="F134" s="64" t="s">
        <v>420</v>
      </c>
      <c r="G134" s="112" t="s">
        <v>421</v>
      </c>
      <c r="H134" s="122" t="s">
        <v>422</v>
      </c>
      <c r="I134" s="120" t="s">
        <v>423</v>
      </c>
      <c r="J134" s="120" t="s">
        <v>424</v>
      </c>
      <c r="K134" s="120" t="s">
        <v>425</v>
      </c>
      <c r="L134" s="58">
        <v>450</v>
      </c>
    </row>
    <row r="135" spans="1:12" ht="14.25" customHeight="1" x14ac:dyDescent="0.25">
      <c r="A135" s="252"/>
      <c r="B135" s="248"/>
      <c r="C135" s="51">
        <v>3</v>
      </c>
      <c r="D135" s="68">
        <v>45736</v>
      </c>
      <c r="E135" s="68">
        <v>46101</v>
      </c>
      <c r="F135" s="64" t="s">
        <v>432</v>
      </c>
      <c r="G135" s="112" t="s">
        <v>433</v>
      </c>
      <c r="H135" s="122" t="s">
        <v>434</v>
      </c>
      <c r="I135" s="120" t="s">
        <v>435</v>
      </c>
      <c r="J135" s="120" t="s">
        <v>461</v>
      </c>
      <c r="K135" s="120" t="s">
        <v>462</v>
      </c>
      <c r="L135" s="58">
        <v>350</v>
      </c>
    </row>
    <row r="136" spans="1:12" ht="14.25" customHeight="1" x14ac:dyDescent="0.25">
      <c r="A136" s="252"/>
      <c r="B136" s="248"/>
      <c r="C136" s="51">
        <v>4</v>
      </c>
      <c r="D136" s="68">
        <v>45736</v>
      </c>
      <c r="E136" s="68">
        <v>49388</v>
      </c>
      <c r="F136" s="64" t="s">
        <v>432</v>
      </c>
      <c r="G136" s="112" t="s">
        <v>433</v>
      </c>
      <c r="H136" s="122" t="s">
        <v>434</v>
      </c>
      <c r="I136" s="120" t="s">
        <v>435</v>
      </c>
      <c r="J136" s="120" t="s">
        <v>463</v>
      </c>
      <c r="K136" s="53" t="s">
        <v>464</v>
      </c>
      <c r="L136" s="71">
        <v>350</v>
      </c>
    </row>
    <row r="137" spans="1:12" ht="14.25" customHeight="1" x14ac:dyDescent="0.25">
      <c r="A137" s="252"/>
      <c r="B137" s="248"/>
      <c r="C137" s="51">
        <v>5</v>
      </c>
      <c r="D137" s="68">
        <v>45160</v>
      </c>
      <c r="E137" s="68">
        <v>46315</v>
      </c>
      <c r="F137" s="64" t="s">
        <v>414</v>
      </c>
      <c r="G137" s="112" t="s">
        <v>415</v>
      </c>
      <c r="H137" s="122" t="s">
        <v>416</v>
      </c>
      <c r="I137" s="120" t="s">
        <v>417</v>
      </c>
      <c r="J137" s="120" t="s">
        <v>441</v>
      </c>
      <c r="K137" s="120" t="s">
        <v>442</v>
      </c>
      <c r="L137" s="71">
        <v>433.82</v>
      </c>
    </row>
    <row r="138" spans="1:12" ht="14.25" customHeight="1" x14ac:dyDescent="0.25">
      <c r="A138" s="252"/>
      <c r="B138" s="249" t="s">
        <v>499</v>
      </c>
      <c r="C138" s="51">
        <v>1</v>
      </c>
      <c r="D138" s="66">
        <v>44958</v>
      </c>
      <c r="E138" s="66">
        <v>46054</v>
      </c>
      <c r="F138" s="62" t="s">
        <v>443</v>
      </c>
      <c r="G138" s="117" t="s">
        <v>444</v>
      </c>
      <c r="H138" s="118" t="s">
        <v>445</v>
      </c>
      <c r="I138" s="119" t="s">
        <v>446</v>
      </c>
      <c r="J138" s="119" t="s">
        <v>447</v>
      </c>
      <c r="K138" s="119" t="s">
        <v>448</v>
      </c>
      <c r="L138" s="58">
        <v>15.09</v>
      </c>
    </row>
    <row r="139" spans="1:12" ht="14.25" customHeight="1" x14ac:dyDescent="0.25">
      <c r="A139" s="252"/>
      <c r="B139" s="250"/>
      <c r="C139" s="51">
        <v>2</v>
      </c>
      <c r="D139" s="66">
        <v>45647</v>
      </c>
      <c r="E139" s="66">
        <v>46011</v>
      </c>
      <c r="F139" s="62" t="s">
        <v>414</v>
      </c>
      <c r="G139" s="117" t="s">
        <v>415</v>
      </c>
      <c r="H139" s="118" t="s">
        <v>416</v>
      </c>
      <c r="I139" s="119" t="s">
        <v>417</v>
      </c>
      <c r="J139" s="119" t="s">
        <v>418</v>
      </c>
      <c r="K139" s="119" t="s">
        <v>419</v>
      </c>
      <c r="L139" s="58">
        <v>18</v>
      </c>
    </row>
    <row r="140" spans="1:12" ht="14.25" customHeight="1" x14ac:dyDescent="0.25">
      <c r="A140" s="252"/>
      <c r="B140" s="250"/>
      <c r="C140" s="51">
        <v>3</v>
      </c>
      <c r="D140" s="68">
        <v>45628</v>
      </c>
      <c r="E140" s="68">
        <v>45992</v>
      </c>
      <c r="F140" s="64" t="s">
        <v>420</v>
      </c>
      <c r="G140" s="112" t="s">
        <v>421</v>
      </c>
      <c r="H140" s="122" t="s">
        <v>422</v>
      </c>
      <c r="I140" s="120" t="s">
        <v>423</v>
      </c>
      <c r="J140" s="120" t="s">
        <v>424</v>
      </c>
      <c r="K140" s="120" t="s">
        <v>425</v>
      </c>
      <c r="L140" s="58">
        <v>35</v>
      </c>
    </row>
    <row r="141" spans="1:12" ht="14.25" customHeight="1" x14ac:dyDescent="0.25">
      <c r="A141" s="252"/>
      <c r="B141" s="250"/>
      <c r="C141" s="51">
        <v>4</v>
      </c>
      <c r="D141" s="68">
        <v>45475</v>
      </c>
      <c r="E141" s="68">
        <v>46570</v>
      </c>
      <c r="F141" s="64" t="s">
        <v>449</v>
      </c>
      <c r="G141" s="112" t="s">
        <v>450</v>
      </c>
      <c r="H141" s="122" t="s">
        <v>451</v>
      </c>
      <c r="I141" s="120" t="s">
        <v>452</v>
      </c>
      <c r="J141" s="120" t="s">
        <v>453</v>
      </c>
      <c r="K141" s="120" t="s">
        <v>454</v>
      </c>
      <c r="L141" s="58">
        <v>8</v>
      </c>
    </row>
    <row r="142" spans="1:12" ht="14.25" customHeight="1" x14ac:dyDescent="0.25">
      <c r="A142" s="252"/>
      <c r="B142" s="251"/>
      <c r="C142" s="51">
        <v>5</v>
      </c>
      <c r="D142" s="68">
        <v>44691</v>
      </c>
      <c r="E142" s="68">
        <v>46183</v>
      </c>
      <c r="F142" s="64" t="s">
        <v>455</v>
      </c>
      <c r="G142" s="112" t="s">
        <v>456</v>
      </c>
      <c r="H142" s="122" t="s">
        <v>457</v>
      </c>
      <c r="I142" s="120" t="s">
        <v>458</v>
      </c>
      <c r="J142" s="65" t="s">
        <v>459</v>
      </c>
      <c r="K142" s="65" t="s">
        <v>460</v>
      </c>
      <c r="L142" s="71">
        <v>12</v>
      </c>
    </row>
    <row r="143" spans="1:12" ht="14.25" customHeight="1" x14ac:dyDescent="0.25">
      <c r="A143" s="252"/>
      <c r="B143" s="248" t="s">
        <v>500</v>
      </c>
      <c r="C143" s="51">
        <v>1</v>
      </c>
      <c r="D143" s="68">
        <v>45647</v>
      </c>
      <c r="E143" s="68">
        <v>46011</v>
      </c>
      <c r="F143" s="64" t="s">
        <v>414</v>
      </c>
      <c r="G143" s="112" t="s">
        <v>415</v>
      </c>
      <c r="H143" s="122" t="s">
        <v>416</v>
      </c>
      <c r="I143" s="120" t="s">
        <v>417</v>
      </c>
      <c r="J143" s="120" t="s">
        <v>418</v>
      </c>
      <c r="K143" s="120" t="s">
        <v>419</v>
      </c>
      <c r="L143" s="58">
        <v>29</v>
      </c>
    </row>
    <row r="144" spans="1:12" ht="14.25" customHeight="1" x14ac:dyDescent="0.25">
      <c r="A144" s="252"/>
      <c r="B144" s="248"/>
      <c r="C144" s="51">
        <v>2</v>
      </c>
      <c r="D144" s="68">
        <v>44958</v>
      </c>
      <c r="E144" s="68">
        <v>46054</v>
      </c>
      <c r="F144" s="64" t="s">
        <v>443</v>
      </c>
      <c r="G144" s="112" t="s">
        <v>444</v>
      </c>
      <c r="H144" s="122" t="s">
        <v>445</v>
      </c>
      <c r="I144" s="120" t="s">
        <v>446</v>
      </c>
      <c r="J144" s="120" t="s">
        <v>447</v>
      </c>
      <c r="K144" s="120" t="s">
        <v>448</v>
      </c>
      <c r="L144" s="71">
        <v>25.54</v>
      </c>
    </row>
    <row r="145" spans="1:12" ht="14.25" customHeight="1" x14ac:dyDescent="0.25">
      <c r="A145" s="252"/>
      <c r="B145" s="248"/>
      <c r="C145" s="51">
        <v>3</v>
      </c>
      <c r="D145" s="68">
        <v>45628</v>
      </c>
      <c r="E145" s="68">
        <v>45992</v>
      </c>
      <c r="F145" s="64" t="s">
        <v>420</v>
      </c>
      <c r="G145" s="112" t="s">
        <v>421</v>
      </c>
      <c r="H145" s="122" t="s">
        <v>422</v>
      </c>
      <c r="I145" s="120" t="s">
        <v>423</v>
      </c>
      <c r="J145" s="120" t="s">
        <v>424</v>
      </c>
      <c r="K145" s="120" t="s">
        <v>425</v>
      </c>
      <c r="L145" s="58">
        <v>79.8</v>
      </c>
    </row>
    <row r="146" spans="1:12" ht="14.25" customHeight="1" x14ac:dyDescent="0.25">
      <c r="A146" s="252"/>
      <c r="B146" s="248"/>
      <c r="C146" s="51">
        <v>4</v>
      </c>
      <c r="D146" s="68">
        <v>45736</v>
      </c>
      <c r="E146" s="68">
        <v>46101</v>
      </c>
      <c r="F146" s="64" t="s">
        <v>432</v>
      </c>
      <c r="G146" s="112" t="s">
        <v>433</v>
      </c>
      <c r="H146" s="122" t="s">
        <v>434</v>
      </c>
      <c r="I146" s="120" t="s">
        <v>435</v>
      </c>
      <c r="J146" s="120" t="s">
        <v>461</v>
      </c>
      <c r="K146" s="120" t="s">
        <v>462</v>
      </c>
      <c r="L146" s="58">
        <v>41.56</v>
      </c>
    </row>
    <row r="147" spans="1:12" ht="14.25" customHeight="1" x14ac:dyDescent="0.25">
      <c r="A147" s="252"/>
      <c r="B147" s="248"/>
      <c r="C147" s="51">
        <v>5</v>
      </c>
      <c r="D147" s="68">
        <v>45736</v>
      </c>
      <c r="E147" s="68">
        <v>49388</v>
      </c>
      <c r="F147" s="64" t="s">
        <v>432</v>
      </c>
      <c r="G147" s="112" t="s">
        <v>433</v>
      </c>
      <c r="H147" s="122" t="s">
        <v>434</v>
      </c>
      <c r="I147" s="120" t="s">
        <v>435</v>
      </c>
      <c r="J147" s="120" t="s">
        <v>463</v>
      </c>
      <c r="K147" s="53" t="s">
        <v>464</v>
      </c>
      <c r="L147" s="58">
        <v>41.56</v>
      </c>
    </row>
    <row r="148" spans="1:12" ht="14.25" customHeight="1" x14ac:dyDescent="0.25">
      <c r="A148" s="252"/>
      <c r="B148" s="260" t="s">
        <v>501</v>
      </c>
      <c r="C148" s="51">
        <v>1</v>
      </c>
      <c r="D148" s="66">
        <v>45916</v>
      </c>
      <c r="E148" s="66">
        <f t="shared" ref="E148:E157" si="8">D148+180</f>
        <v>46096</v>
      </c>
      <c r="F148" s="62" t="s">
        <v>605</v>
      </c>
      <c r="G148" s="117" t="s">
        <v>606</v>
      </c>
      <c r="H148" s="118" t="s">
        <v>607</v>
      </c>
      <c r="I148" s="119" t="s">
        <v>608</v>
      </c>
      <c r="J148" s="246" t="s">
        <v>288</v>
      </c>
      <c r="K148" s="247"/>
      <c r="L148" s="116">
        <v>612.41999999999996</v>
      </c>
    </row>
    <row r="149" spans="1:12" ht="14.25" customHeight="1" x14ac:dyDescent="0.25">
      <c r="A149" s="252"/>
      <c r="B149" s="248"/>
      <c r="C149" s="51">
        <v>2</v>
      </c>
      <c r="D149" s="66">
        <v>45917</v>
      </c>
      <c r="E149" s="66">
        <f t="shared" si="8"/>
        <v>46097</v>
      </c>
      <c r="F149" s="62" t="s">
        <v>609</v>
      </c>
      <c r="G149" s="117" t="s">
        <v>610</v>
      </c>
      <c r="H149" s="118" t="s">
        <v>611</v>
      </c>
      <c r="I149" s="119" t="s">
        <v>612</v>
      </c>
      <c r="J149" s="246" t="s">
        <v>288</v>
      </c>
      <c r="K149" s="247"/>
      <c r="L149" s="116">
        <v>589</v>
      </c>
    </row>
    <row r="150" spans="1:12" ht="14.25" customHeight="1" x14ac:dyDescent="0.25">
      <c r="A150" s="252"/>
      <c r="B150" s="248"/>
      <c r="C150" s="51">
        <v>3</v>
      </c>
      <c r="D150" s="66">
        <v>45918</v>
      </c>
      <c r="E150" s="66">
        <f t="shared" si="8"/>
        <v>46098</v>
      </c>
      <c r="F150" s="62" t="s">
        <v>613</v>
      </c>
      <c r="G150" s="117" t="s">
        <v>614</v>
      </c>
      <c r="H150" s="118" t="s">
        <v>615</v>
      </c>
      <c r="I150" s="119" t="s">
        <v>616</v>
      </c>
      <c r="J150" s="246" t="s">
        <v>288</v>
      </c>
      <c r="K150" s="247"/>
      <c r="L150" s="116">
        <v>449</v>
      </c>
    </row>
    <row r="151" spans="1:12" ht="14.25" customHeight="1" x14ac:dyDescent="0.25">
      <c r="A151" s="252"/>
      <c r="B151" s="248"/>
      <c r="C151" s="51">
        <v>4</v>
      </c>
      <c r="D151" s="66">
        <v>45919</v>
      </c>
      <c r="E151" s="66">
        <f t="shared" si="8"/>
        <v>46099</v>
      </c>
      <c r="F151" s="62" t="s">
        <v>617</v>
      </c>
      <c r="G151" s="117" t="s">
        <v>618</v>
      </c>
      <c r="H151" s="118" t="s">
        <v>619</v>
      </c>
      <c r="I151" s="119" t="s">
        <v>620</v>
      </c>
      <c r="J151" s="246" t="s">
        <v>288</v>
      </c>
      <c r="K151" s="247"/>
      <c r="L151" s="116">
        <v>639</v>
      </c>
    </row>
    <row r="152" spans="1:12" ht="14.25" customHeight="1" x14ac:dyDescent="0.25">
      <c r="A152" s="252"/>
      <c r="B152" s="248"/>
      <c r="C152" s="51">
        <v>5</v>
      </c>
      <c r="D152" s="66">
        <v>45920</v>
      </c>
      <c r="E152" s="66">
        <f t="shared" si="8"/>
        <v>46100</v>
      </c>
      <c r="F152" s="62" t="s">
        <v>621</v>
      </c>
      <c r="G152" s="117" t="s">
        <v>622</v>
      </c>
      <c r="H152" s="118" t="s">
        <v>623</v>
      </c>
      <c r="I152" s="119" t="s">
        <v>624</v>
      </c>
      <c r="J152" s="246" t="s">
        <v>288</v>
      </c>
      <c r="K152" s="247"/>
      <c r="L152" s="116">
        <v>519</v>
      </c>
    </row>
    <row r="153" spans="1:12" ht="14.25" customHeight="1" x14ac:dyDescent="0.25">
      <c r="A153" s="252"/>
      <c r="B153" s="260" t="s">
        <v>625</v>
      </c>
      <c r="C153" s="51">
        <v>1</v>
      </c>
      <c r="D153" s="66">
        <v>45916</v>
      </c>
      <c r="E153" s="66">
        <f t="shared" si="8"/>
        <v>46096</v>
      </c>
      <c r="F153" s="62" t="s">
        <v>626</v>
      </c>
      <c r="G153" s="117" t="s">
        <v>627</v>
      </c>
      <c r="H153" s="118" t="s">
        <v>628</v>
      </c>
      <c r="I153" s="119" t="s">
        <v>629</v>
      </c>
      <c r="J153" s="246" t="s">
        <v>288</v>
      </c>
      <c r="K153" s="247"/>
      <c r="L153" s="116">
        <v>1238.21</v>
      </c>
    </row>
    <row r="154" spans="1:12" ht="14.25" customHeight="1" x14ac:dyDescent="0.25">
      <c r="A154" s="252"/>
      <c r="B154" s="248"/>
      <c r="C154" s="51">
        <v>2</v>
      </c>
      <c r="D154" s="66">
        <v>45917</v>
      </c>
      <c r="E154" s="66">
        <f t="shared" si="8"/>
        <v>46097</v>
      </c>
      <c r="F154" s="62" t="s">
        <v>630</v>
      </c>
      <c r="G154" s="117" t="s">
        <v>631</v>
      </c>
      <c r="H154" s="118" t="s">
        <v>632</v>
      </c>
      <c r="I154" s="119" t="s">
        <v>633</v>
      </c>
      <c r="J154" s="246" t="s">
        <v>288</v>
      </c>
      <c r="K154" s="247"/>
      <c r="L154" s="116">
        <v>1995</v>
      </c>
    </row>
    <row r="155" spans="1:12" ht="14.25" customHeight="1" x14ac:dyDescent="0.25">
      <c r="A155" s="252"/>
      <c r="B155" s="248"/>
      <c r="C155" s="51">
        <v>3</v>
      </c>
      <c r="D155" s="66">
        <v>45918</v>
      </c>
      <c r="E155" s="66">
        <f t="shared" si="8"/>
        <v>46098</v>
      </c>
      <c r="F155" s="62" t="s">
        <v>634</v>
      </c>
      <c r="G155" s="117" t="s">
        <v>635</v>
      </c>
      <c r="H155" s="118" t="s">
        <v>636</v>
      </c>
      <c r="I155" s="119" t="s">
        <v>637</v>
      </c>
      <c r="J155" s="246" t="s">
        <v>288</v>
      </c>
      <c r="K155" s="247"/>
      <c r="L155" s="116">
        <v>1264</v>
      </c>
    </row>
    <row r="156" spans="1:12" ht="14.25" customHeight="1" x14ac:dyDescent="0.25">
      <c r="A156" s="252"/>
      <c r="B156" s="248"/>
      <c r="C156" s="51">
        <v>4</v>
      </c>
      <c r="D156" s="66">
        <v>45919</v>
      </c>
      <c r="E156" s="66">
        <f t="shared" si="8"/>
        <v>46099</v>
      </c>
      <c r="F156" s="62" t="s">
        <v>638</v>
      </c>
      <c r="G156" s="117" t="s">
        <v>639</v>
      </c>
      <c r="H156" s="118" t="s">
        <v>640</v>
      </c>
      <c r="I156" s="119" t="s">
        <v>641</v>
      </c>
      <c r="J156" s="246" t="s">
        <v>288</v>
      </c>
      <c r="K156" s="247"/>
      <c r="L156" s="116">
        <v>1968.43</v>
      </c>
    </row>
    <row r="157" spans="1:12" ht="14.25" customHeight="1" x14ac:dyDescent="0.25">
      <c r="A157" s="252"/>
      <c r="B157" s="248"/>
      <c r="C157" s="51">
        <v>5</v>
      </c>
      <c r="D157" s="66">
        <v>45920</v>
      </c>
      <c r="E157" s="66">
        <f t="shared" si="8"/>
        <v>46100</v>
      </c>
      <c r="F157" s="62" t="s">
        <v>642</v>
      </c>
      <c r="G157" s="117" t="s">
        <v>643</v>
      </c>
      <c r="H157" s="118" t="s">
        <v>644</v>
      </c>
      <c r="I157" s="119" t="s">
        <v>645</v>
      </c>
      <c r="J157" s="246" t="s">
        <v>288</v>
      </c>
      <c r="K157" s="247"/>
      <c r="L157" s="116">
        <v>1655.56</v>
      </c>
    </row>
    <row r="158" spans="1:12" ht="14.25" customHeight="1" x14ac:dyDescent="0.25">
      <c r="A158" s="252"/>
      <c r="B158" s="248" t="s">
        <v>663</v>
      </c>
      <c r="C158" s="51">
        <v>1</v>
      </c>
      <c r="D158" s="68">
        <v>45647</v>
      </c>
      <c r="E158" s="68">
        <v>46011</v>
      </c>
      <c r="F158" s="64" t="s">
        <v>414</v>
      </c>
      <c r="G158" s="112" t="s">
        <v>415</v>
      </c>
      <c r="H158" s="122" t="s">
        <v>416</v>
      </c>
      <c r="I158" s="120" t="s">
        <v>417</v>
      </c>
      <c r="J158" s="120" t="s">
        <v>418</v>
      </c>
      <c r="K158" s="120" t="s">
        <v>419</v>
      </c>
      <c r="L158" s="58">
        <v>59</v>
      </c>
    </row>
    <row r="159" spans="1:12" ht="14.25" customHeight="1" x14ac:dyDescent="0.25">
      <c r="A159" s="252"/>
      <c r="B159" s="248"/>
      <c r="C159" s="51">
        <v>2</v>
      </c>
      <c r="D159" s="68">
        <v>45597</v>
      </c>
      <c r="E159" s="68">
        <v>45961</v>
      </c>
      <c r="F159" s="64" t="s">
        <v>426</v>
      </c>
      <c r="G159" s="112" t="s">
        <v>427</v>
      </c>
      <c r="H159" s="122" t="s">
        <v>428</v>
      </c>
      <c r="I159" s="120" t="s">
        <v>429</v>
      </c>
      <c r="J159" s="120" t="s">
        <v>430</v>
      </c>
      <c r="K159" s="120" t="s">
        <v>431</v>
      </c>
      <c r="L159" s="71">
        <v>35.4</v>
      </c>
    </row>
    <row r="160" spans="1:12" ht="14.25" customHeight="1" x14ac:dyDescent="0.25">
      <c r="A160" s="252"/>
      <c r="B160" s="248"/>
      <c r="C160" s="51">
        <v>3</v>
      </c>
      <c r="D160" s="68">
        <v>45736</v>
      </c>
      <c r="E160" s="68">
        <v>46101</v>
      </c>
      <c r="F160" s="64" t="s">
        <v>432</v>
      </c>
      <c r="G160" s="112" t="s">
        <v>433</v>
      </c>
      <c r="H160" s="122" t="s">
        <v>434</v>
      </c>
      <c r="I160" s="120" t="s">
        <v>435</v>
      </c>
      <c r="J160" s="120" t="s">
        <v>461</v>
      </c>
      <c r="K160" s="120" t="s">
        <v>462</v>
      </c>
      <c r="L160" s="58">
        <v>33.1</v>
      </c>
    </row>
    <row r="161" spans="1:13" ht="14.25" customHeight="1" x14ac:dyDescent="0.25">
      <c r="A161" s="252"/>
      <c r="B161" s="248"/>
      <c r="C161" s="51">
        <v>4</v>
      </c>
      <c r="D161" s="66">
        <v>45736</v>
      </c>
      <c r="E161" s="66">
        <v>49388</v>
      </c>
      <c r="F161" s="62" t="s">
        <v>432</v>
      </c>
      <c r="G161" s="117" t="s">
        <v>433</v>
      </c>
      <c r="H161" s="118" t="s">
        <v>434</v>
      </c>
      <c r="I161" s="119" t="s">
        <v>435</v>
      </c>
      <c r="J161" s="120" t="s">
        <v>463</v>
      </c>
      <c r="K161" s="53" t="s">
        <v>464</v>
      </c>
      <c r="L161" s="71">
        <v>33.1</v>
      </c>
    </row>
    <row r="162" spans="1:13" ht="14.25" customHeight="1" x14ac:dyDescent="0.25">
      <c r="A162" s="252"/>
      <c r="B162" s="248"/>
      <c r="C162" s="51">
        <v>5</v>
      </c>
      <c r="D162" s="66">
        <v>45160</v>
      </c>
      <c r="E162" s="66">
        <v>46315</v>
      </c>
      <c r="F162" s="62" t="s">
        <v>414</v>
      </c>
      <c r="G162" s="117" t="s">
        <v>415</v>
      </c>
      <c r="H162" s="118" t="s">
        <v>416</v>
      </c>
      <c r="I162" s="119" t="s">
        <v>417</v>
      </c>
      <c r="J162" s="120" t="s">
        <v>441</v>
      </c>
      <c r="K162" s="120" t="s">
        <v>442</v>
      </c>
      <c r="L162" s="69">
        <v>43.3</v>
      </c>
    </row>
    <row r="163" spans="1:13" ht="14.25" customHeight="1" x14ac:dyDescent="0.25">
      <c r="A163" s="252"/>
      <c r="B163" s="248" t="s">
        <v>662</v>
      </c>
      <c r="C163" s="51">
        <v>1</v>
      </c>
      <c r="D163" s="68">
        <v>44958</v>
      </c>
      <c r="E163" s="68">
        <v>46054</v>
      </c>
      <c r="F163" s="64" t="s">
        <v>443</v>
      </c>
      <c r="G163" s="112" t="s">
        <v>444</v>
      </c>
      <c r="H163" s="122" t="s">
        <v>445</v>
      </c>
      <c r="I163" s="120" t="s">
        <v>446</v>
      </c>
      <c r="J163" s="120" t="s">
        <v>447</v>
      </c>
      <c r="K163" s="120" t="s">
        <v>448</v>
      </c>
      <c r="L163" s="58">
        <v>1500</v>
      </c>
      <c r="M163" s="124"/>
    </row>
    <row r="164" spans="1:13" ht="14.25" customHeight="1" x14ac:dyDescent="0.25">
      <c r="A164" s="252"/>
      <c r="B164" s="248"/>
      <c r="C164" s="51">
        <v>2</v>
      </c>
      <c r="D164" s="68">
        <v>45647</v>
      </c>
      <c r="E164" s="68">
        <v>46011</v>
      </c>
      <c r="F164" s="64" t="s">
        <v>414</v>
      </c>
      <c r="G164" s="112" t="s">
        <v>415</v>
      </c>
      <c r="H164" s="122" t="s">
        <v>416</v>
      </c>
      <c r="I164" s="120" t="s">
        <v>417</v>
      </c>
      <c r="J164" s="120" t="s">
        <v>418</v>
      </c>
      <c r="K164" s="120" t="s">
        <v>419</v>
      </c>
      <c r="L164" s="71">
        <v>1421</v>
      </c>
    </row>
    <row r="165" spans="1:13" ht="14.25" customHeight="1" x14ac:dyDescent="0.25">
      <c r="A165" s="252"/>
      <c r="B165" s="248"/>
      <c r="C165" s="51">
        <v>3</v>
      </c>
      <c r="D165" s="68">
        <v>45628</v>
      </c>
      <c r="E165" s="68">
        <v>45992</v>
      </c>
      <c r="F165" s="64" t="s">
        <v>420</v>
      </c>
      <c r="G165" s="112" t="s">
        <v>421</v>
      </c>
      <c r="H165" s="122" t="s">
        <v>422</v>
      </c>
      <c r="I165" s="120" t="s">
        <v>423</v>
      </c>
      <c r="J165" s="120" t="s">
        <v>424</v>
      </c>
      <c r="K165" s="120" t="s">
        <v>425</v>
      </c>
      <c r="L165" s="58">
        <v>5950</v>
      </c>
    </row>
    <row r="166" spans="1:13" ht="14.25" customHeight="1" x14ac:dyDescent="0.25">
      <c r="A166" s="252"/>
      <c r="B166" s="248"/>
      <c r="C166" s="51">
        <v>4</v>
      </c>
      <c r="D166" s="68">
        <v>45597</v>
      </c>
      <c r="E166" s="68">
        <v>45961</v>
      </c>
      <c r="F166" s="64" t="s">
        <v>426</v>
      </c>
      <c r="G166" s="112" t="s">
        <v>427</v>
      </c>
      <c r="H166" s="122" t="s">
        <v>428</v>
      </c>
      <c r="I166" s="120" t="s">
        <v>429</v>
      </c>
      <c r="J166" s="120" t="s">
        <v>430</v>
      </c>
      <c r="K166" s="120" t="s">
        <v>431</v>
      </c>
      <c r="L166" s="71">
        <v>2642.22</v>
      </c>
    </row>
    <row r="167" spans="1:13" ht="14.25" customHeight="1" x14ac:dyDescent="0.25">
      <c r="A167" s="252"/>
      <c r="B167" s="248"/>
      <c r="C167" s="51">
        <v>5</v>
      </c>
      <c r="D167" s="68">
        <v>45736</v>
      </c>
      <c r="E167" s="68">
        <v>46101</v>
      </c>
      <c r="F167" s="64" t="s">
        <v>432</v>
      </c>
      <c r="G167" s="112" t="s">
        <v>433</v>
      </c>
      <c r="H167" s="122" t="s">
        <v>434</v>
      </c>
      <c r="I167" s="120" t="s">
        <v>435</v>
      </c>
      <c r="J167" s="120" t="s">
        <v>461</v>
      </c>
      <c r="K167" s="120" t="s">
        <v>462</v>
      </c>
      <c r="L167" s="58">
        <v>2000</v>
      </c>
    </row>
    <row r="168" spans="1:13" ht="14.25" customHeight="1" x14ac:dyDescent="0.25">
      <c r="A168"/>
      <c r="B168"/>
      <c r="C168"/>
      <c r="D168"/>
      <c r="E168"/>
      <c r="F168"/>
      <c r="G168"/>
      <c r="H168"/>
      <c r="I168"/>
      <c r="J168"/>
      <c r="L168" s="76"/>
    </row>
    <row r="169" spans="1:13" ht="14.25" customHeight="1" x14ac:dyDescent="0.25">
      <c r="A169"/>
      <c r="B169"/>
      <c r="C169"/>
      <c r="D169"/>
      <c r="E169"/>
      <c r="F169"/>
      <c r="G169"/>
      <c r="H169"/>
      <c r="I169"/>
      <c r="J169"/>
      <c r="L169" s="76"/>
    </row>
    <row r="170" spans="1:13" ht="14.25" customHeight="1" x14ac:dyDescent="0.25">
      <c r="A170"/>
      <c r="B170"/>
      <c r="C170"/>
      <c r="D170"/>
      <c r="E170"/>
      <c r="F170"/>
      <c r="G170"/>
      <c r="H170"/>
      <c r="I170"/>
      <c r="J170"/>
      <c r="L170" s="76"/>
    </row>
    <row r="171" spans="1:13" ht="14.25" customHeight="1" x14ac:dyDescent="0.25">
      <c r="A171"/>
      <c r="B171"/>
      <c r="C171"/>
      <c r="D171"/>
      <c r="E171"/>
      <c r="F171"/>
      <c r="G171"/>
      <c r="H171"/>
      <c r="I171"/>
      <c r="J171"/>
      <c r="L171" s="76"/>
    </row>
    <row r="172" spans="1:13" ht="14.25" customHeight="1" x14ac:dyDescent="0.25">
      <c r="A172"/>
      <c r="B172"/>
      <c r="C172"/>
      <c r="D172"/>
      <c r="E172"/>
      <c r="F172"/>
      <c r="G172"/>
      <c r="H172"/>
      <c r="I172"/>
      <c r="J172"/>
      <c r="L172" s="76"/>
    </row>
  </sheetData>
  <mergeCells count="98">
    <mergeCell ref="B138:B142"/>
    <mergeCell ref="B148:B152"/>
    <mergeCell ref="B153:B157"/>
    <mergeCell ref="J148:K148"/>
    <mergeCell ref="J149:K149"/>
    <mergeCell ref="J150:K150"/>
    <mergeCell ref="J151:K151"/>
    <mergeCell ref="J152:K152"/>
    <mergeCell ref="J153:K153"/>
    <mergeCell ref="J154:K154"/>
    <mergeCell ref="J155:K155"/>
    <mergeCell ref="J156:K156"/>
    <mergeCell ref="J157:K157"/>
    <mergeCell ref="B128:B132"/>
    <mergeCell ref="J128:K128"/>
    <mergeCell ref="J129:K129"/>
    <mergeCell ref="J130:K130"/>
    <mergeCell ref="J131:K131"/>
    <mergeCell ref="J132:K132"/>
    <mergeCell ref="B123:B127"/>
    <mergeCell ref="J123:K123"/>
    <mergeCell ref="J124:K124"/>
    <mergeCell ref="J125:K125"/>
    <mergeCell ref="J126:K126"/>
    <mergeCell ref="J127:K127"/>
    <mergeCell ref="J118:K118"/>
    <mergeCell ref="J119:K119"/>
    <mergeCell ref="J120:K120"/>
    <mergeCell ref="J121:K121"/>
    <mergeCell ref="J122:K122"/>
    <mergeCell ref="J1:J2"/>
    <mergeCell ref="K1:K2"/>
    <mergeCell ref="L1:L2"/>
    <mergeCell ref="A3:A32"/>
    <mergeCell ref="B3:B7"/>
    <mergeCell ref="B8:B12"/>
    <mergeCell ref="B13:B17"/>
    <mergeCell ref="B18:B22"/>
    <mergeCell ref="B23:B27"/>
    <mergeCell ref="J23:K23"/>
    <mergeCell ref="B1:B2"/>
    <mergeCell ref="D1:E1"/>
    <mergeCell ref="F1:F2"/>
    <mergeCell ref="G1:G2"/>
    <mergeCell ref="H1:H2"/>
    <mergeCell ref="I1:I2"/>
    <mergeCell ref="J70:K70"/>
    <mergeCell ref="J71:K71"/>
    <mergeCell ref="J72:K72"/>
    <mergeCell ref="A33:A62"/>
    <mergeCell ref="B33:B37"/>
    <mergeCell ref="B38:B42"/>
    <mergeCell ref="B43:B47"/>
    <mergeCell ref="B48:B52"/>
    <mergeCell ref="B53:B57"/>
    <mergeCell ref="B58:B62"/>
    <mergeCell ref="J60:K60"/>
    <mergeCell ref="J61:K61"/>
    <mergeCell ref="J62:K62"/>
    <mergeCell ref="J68:K68"/>
    <mergeCell ref="J69:K69"/>
    <mergeCell ref="A63:A92"/>
    <mergeCell ref="J24:K24"/>
    <mergeCell ref="J25:K25"/>
    <mergeCell ref="J26:K26"/>
    <mergeCell ref="J27:K27"/>
    <mergeCell ref="B28:B32"/>
    <mergeCell ref="B63:B67"/>
    <mergeCell ref="A98:A167"/>
    <mergeCell ref="B98:B102"/>
    <mergeCell ref="B143:B147"/>
    <mergeCell ref="B108:B112"/>
    <mergeCell ref="B113:B117"/>
    <mergeCell ref="B133:B137"/>
    <mergeCell ref="B163:B167"/>
    <mergeCell ref="B158:B162"/>
    <mergeCell ref="A93:A97"/>
    <mergeCell ref="B68:B72"/>
    <mergeCell ref="B73:B77"/>
    <mergeCell ref="B78:B82"/>
    <mergeCell ref="B103:B107"/>
    <mergeCell ref="B118:B122"/>
    <mergeCell ref="B83:B87"/>
    <mergeCell ref="B88:B92"/>
    <mergeCell ref="J101:K101"/>
    <mergeCell ref="J102:K102"/>
    <mergeCell ref="B93:B97"/>
    <mergeCell ref="J111:K111"/>
    <mergeCell ref="J112:K112"/>
    <mergeCell ref="J97:K97"/>
    <mergeCell ref="J98:K98"/>
    <mergeCell ref="J99:K99"/>
    <mergeCell ref="J100:K100"/>
    <mergeCell ref="J103:K103"/>
    <mergeCell ref="J104:K104"/>
    <mergeCell ref="J105:K105"/>
    <mergeCell ref="J106:K106"/>
    <mergeCell ref="J107:K107"/>
  </mergeCells>
  <hyperlinks>
    <hyperlink ref="H3" r:id="rId1" xr:uid="{208F81F3-6E25-4EB6-842D-7792C2794835}"/>
    <hyperlink ref="H4" r:id="rId2" xr:uid="{AEC7A9E0-1A3F-47F2-A342-B93CDA84109D}"/>
    <hyperlink ref="H5" r:id="rId3" xr:uid="{93AF812D-5494-4383-AAC1-B48A1A9B177A}"/>
    <hyperlink ref="H6" r:id="rId4" xr:uid="{B81B4130-49FE-4E08-9F72-03ABB1F67DE6}"/>
    <hyperlink ref="H7" r:id="rId5" xr:uid="{E5E398E9-89CB-4576-BC1A-1659AC5DCDB9}"/>
    <hyperlink ref="H8" r:id="rId6" xr:uid="{AC8546FC-2476-40EE-AF9B-AD3EB2375C94}"/>
    <hyperlink ref="H9" r:id="rId7" xr:uid="{8D97343D-CF59-46E4-B4F6-DB6F01857EA0}"/>
    <hyperlink ref="H10" r:id="rId8" xr:uid="{32A9FEA5-93A6-4122-BF17-F452D76404C1}"/>
    <hyperlink ref="H11" r:id="rId9" xr:uid="{4315FD0A-E2CB-46D5-80E4-C25FA3B3A123}"/>
    <hyperlink ref="H12" r:id="rId10" xr:uid="{B7AE8EC0-9656-4D3B-B15B-601DEA203D1D}"/>
    <hyperlink ref="H13" r:id="rId11" xr:uid="{FBAC7C79-8DC5-41BF-8F9D-4C5FDBF6EA1B}"/>
    <hyperlink ref="H14" r:id="rId12" xr:uid="{168328A7-ACEC-4A54-BCB2-95326C996A89}"/>
    <hyperlink ref="H15" r:id="rId13" xr:uid="{E54BF992-21FA-47D8-A2AA-DB788C0C3931}"/>
    <hyperlink ref="H16" r:id="rId14" xr:uid="{6D67A4BE-1F39-41E6-BE96-996AE6AC64D9}"/>
    <hyperlink ref="H17" r:id="rId15" xr:uid="{B854FB31-24AF-43CA-BE24-0535E29CA51E}"/>
    <hyperlink ref="H18" r:id="rId16" xr:uid="{B07EA571-69E3-42DF-A574-7244C16A2B4B}"/>
    <hyperlink ref="H19" r:id="rId17" xr:uid="{B71347F5-C26A-418B-8BCE-2E44F3DA966A}"/>
    <hyperlink ref="H20" r:id="rId18" xr:uid="{0A63A9A3-2B34-4D06-8BF8-4AAC9A0747C2}"/>
    <hyperlink ref="H21" r:id="rId19" xr:uid="{192D6A91-6416-41CA-9456-CA3EA2707EC4}"/>
    <hyperlink ref="H22" r:id="rId20" xr:uid="{476865C0-2E4C-4ECA-AD52-4EAF23D59D58}"/>
    <hyperlink ref="H23" r:id="rId21" xr:uid="{DCF0C7F4-8E9F-41BA-984D-793E024A0586}"/>
    <hyperlink ref="H24" r:id="rId22" xr:uid="{34C99AC6-F5B6-4876-9472-0E239355008D}"/>
    <hyperlink ref="H25" r:id="rId23" xr:uid="{A555D2AF-BBF4-4AC4-B4A4-11301D557784}"/>
    <hyperlink ref="H26" r:id="rId24" xr:uid="{92F82E2B-85E4-4FBF-B050-7834F2E19489}"/>
    <hyperlink ref="H27" r:id="rId25" xr:uid="{7A3EBE2D-1CB9-45CB-85BE-A59669EAB63A}"/>
    <hyperlink ref="H28" r:id="rId26" xr:uid="{CD1D764D-B163-4991-A49D-A8DB0AB288FB}"/>
    <hyperlink ref="H29" r:id="rId27" xr:uid="{C8CD2864-89A0-41F3-A571-EA1C333BD001}"/>
    <hyperlink ref="H30" r:id="rId28" xr:uid="{AE86B280-FC89-42CF-9208-058CECD89B7E}"/>
    <hyperlink ref="H31" r:id="rId29" xr:uid="{8ED2D174-1906-4DD6-9B40-CBF633E80A90}"/>
    <hyperlink ref="H32" r:id="rId30" xr:uid="{7A611AAE-1345-4AE9-88E9-F07AD1149741}"/>
    <hyperlink ref="H33" r:id="rId31" xr:uid="{E7164D23-D7CA-4171-8C61-5376C5780FD0}"/>
    <hyperlink ref="H34" r:id="rId32" xr:uid="{C8658261-8518-4B1D-B8EC-142984CCBB17}"/>
    <hyperlink ref="H35" r:id="rId33" xr:uid="{647AB217-BFC2-4F3B-8C3E-38EA280382C7}"/>
    <hyperlink ref="H36" r:id="rId34" xr:uid="{6205D5A5-CEFC-4096-9E77-04A6864198CD}"/>
    <hyperlink ref="H37" r:id="rId35" xr:uid="{2A40AFAD-8770-41E5-BBDE-B5737DBD2895}"/>
    <hyperlink ref="H38" r:id="rId36" xr:uid="{5AA44959-16E0-47E0-9B71-42868DABFCF9}"/>
    <hyperlink ref="H39" r:id="rId37" xr:uid="{DF28458F-A924-4428-8219-00B9108F025A}"/>
    <hyperlink ref="H40" r:id="rId38" xr:uid="{01BD1C2E-5118-4B63-BF7D-BAEE70BC8827}"/>
    <hyperlink ref="H41" r:id="rId39" xr:uid="{22CF118B-8322-4BF3-B98E-90805268D887}"/>
    <hyperlink ref="H42" r:id="rId40" xr:uid="{ECFCE47C-6397-4400-9F4A-03DFF3EC1702}"/>
    <hyperlink ref="H43" r:id="rId41" xr:uid="{7CFEF38A-F007-4A84-8D4D-B2AFA489FA98}"/>
    <hyperlink ref="H44" r:id="rId42" xr:uid="{1FFAD7A3-D1F3-408E-8191-14F9FDD811E2}"/>
    <hyperlink ref="H45" r:id="rId43" xr:uid="{92EE5704-72FD-4A62-B3F7-01822FCE0F70}"/>
    <hyperlink ref="H46" r:id="rId44" xr:uid="{2F1CBA60-3C31-4348-AECB-4A52B591A868}"/>
    <hyperlink ref="H47" r:id="rId45" xr:uid="{390FE5AC-2702-4E18-9E53-84B405CC95A1}"/>
    <hyperlink ref="H48" r:id="rId46" xr:uid="{C0CD2FA4-6537-4688-A694-76BDB36B74FF}"/>
    <hyperlink ref="H49" r:id="rId47" xr:uid="{F0CC48D4-1236-4269-9241-040A38C87273}"/>
    <hyperlink ref="H50" r:id="rId48" xr:uid="{2771CA77-AB5F-4D62-95CA-5A5FAB3F5C17}"/>
    <hyperlink ref="H51" r:id="rId49" xr:uid="{61D73DD3-8D95-4059-A51D-2D5F191565B7}"/>
    <hyperlink ref="H52" r:id="rId50" xr:uid="{562C3C1F-9EC4-44C5-80C7-7435688D2C4E}"/>
    <hyperlink ref="H53" r:id="rId51" xr:uid="{DDF24EBB-256D-46BC-9E86-58428E661609}"/>
    <hyperlink ref="H57" r:id="rId52" xr:uid="{68724182-638C-4B71-9013-F82972362355}"/>
    <hyperlink ref="H54" r:id="rId53" xr:uid="{346635B2-8705-44CA-93A2-9EE8A8F41131}"/>
    <hyperlink ref="H55" r:id="rId54" xr:uid="{6374E5F9-56B0-42B9-9071-CF0A753129D4}"/>
    <hyperlink ref="H56" r:id="rId55" xr:uid="{5E234C4B-0201-4157-A084-3273683D5097}"/>
    <hyperlink ref="H58" r:id="rId56" xr:uid="{ECE91C65-65FE-4808-87F8-DA6C66D3EA66}"/>
    <hyperlink ref="H59" r:id="rId57" xr:uid="{C87EA589-F24D-4252-8767-39527BE19D52}"/>
    <hyperlink ref="H61" r:id="rId58" xr:uid="{16F6E564-AA53-40D7-A8C6-04DA186095B7}"/>
    <hyperlink ref="H60" r:id="rId59" xr:uid="{300B1949-53BD-4F0A-848A-0B4E16AF651A}"/>
    <hyperlink ref="H62" r:id="rId60" xr:uid="{F4A2C64B-91D5-42AD-ABA7-0D9351F288CF}"/>
    <hyperlink ref="H63" r:id="rId61" xr:uid="{D66CF358-0B5B-47B7-BB36-FF6076EB6686}"/>
    <hyperlink ref="H64" r:id="rId62" xr:uid="{A006849D-ECDC-41CA-9D60-0FE9816A6ECE}"/>
    <hyperlink ref="H65" r:id="rId63" xr:uid="{A29B2BD5-FD6E-4D1A-B11E-B797F24D0541}"/>
    <hyperlink ref="H66" r:id="rId64" xr:uid="{C369B72A-9FE9-4F28-A89E-E04E324C4086}"/>
    <hyperlink ref="H103" r:id="rId65" xr:uid="{85356429-6575-4586-9015-50FD23B5AEFD}"/>
    <hyperlink ref="H104" r:id="rId66" xr:uid="{66CAD20D-2623-4F6B-B35E-F8480435DF23}"/>
    <hyperlink ref="H105" r:id="rId67" xr:uid="{BC7BCB70-73DE-4F41-9835-6F976DDC8BAF}"/>
    <hyperlink ref="H106" r:id="rId68" xr:uid="{96322E8E-F902-49BD-921D-C819F1E9F7A1}"/>
    <hyperlink ref="H107" r:id="rId69" xr:uid="{40B326F6-30F5-4B55-9B55-98529EB0D8FC}"/>
    <hyperlink ref="H118" r:id="rId70" xr:uid="{99575E31-9013-4AFF-B8F8-6A597BBB8116}"/>
    <hyperlink ref="H120" r:id="rId71" xr:uid="{973AA1C3-7301-4CF6-AB66-1F46BCFF6ED7}"/>
    <hyperlink ref="H121" r:id="rId72" xr:uid="{6002418A-C565-438D-A35F-CAC51A0E79B2}"/>
    <hyperlink ref="H122" r:id="rId73" xr:uid="{808A75CE-1190-4689-BE8D-88CE8751B80C}"/>
    <hyperlink ref="H119" r:id="rId74" xr:uid="{3D910D88-B2A3-41E9-9715-1ED0C2B4BFB0}"/>
    <hyperlink ref="H123" r:id="rId75" xr:uid="{76F879A5-73B3-4671-8A3B-170727FDC828}"/>
    <hyperlink ref="H124" r:id="rId76" xr:uid="{6F79C15A-A6C1-466A-B3E3-391F35DD6C5E}"/>
    <hyperlink ref="H125" r:id="rId77" xr:uid="{A4E4EB4A-7DE0-4497-95E1-E6638A21E69E}"/>
    <hyperlink ref="H126" r:id="rId78" xr:uid="{67C5AFB4-C3CB-4F93-B20D-ED48DBF986AB}"/>
    <hyperlink ref="H128" r:id="rId79" xr:uid="{0264686B-21C5-47F1-BCDF-5313F855445C}"/>
    <hyperlink ref="H129" r:id="rId80" xr:uid="{09B74287-B2A0-4B98-9CA4-A6F515DD6DAC}"/>
    <hyperlink ref="H130" r:id="rId81" xr:uid="{9BD8681B-99CB-42F3-B711-E178AC64FE23}"/>
    <hyperlink ref="H131" r:id="rId82" xr:uid="{99544736-1BD8-46C4-9852-A25FAD998E94}"/>
    <hyperlink ref="H132" r:id="rId83" xr:uid="{9B905F5C-4016-43F4-A989-EE0C87948637}"/>
    <hyperlink ref="H148" r:id="rId84" xr:uid="{B595FAD5-CEA8-4999-9C0C-3620214A0DF7}"/>
    <hyperlink ref="H149" r:id="rId85" xr:uid="{7BA76B7F-FD05-4EE7-BEB3-7993D6316D93}"/>
    <hyperlink ref="H150" r:id="rId86" xr:uid="{CEBE0D93-BD11-469C-BCB2-87E2756DC496}"/>
    <hyperlink ref="H151" r:id="rId87" xr:uid="{323AAF76-E8EF-4B9A-AB4E-477EA8725589}"/>
    <hyperlink ref="H152" r:id="rId88" xr:uid="{1DB161B4-ADC9-41A0-90F7-C5BB5771E31A}"/>
    <hyperlink ref="H153" r:id="rId89" xr:uid="{FD06C5CE-A812-4796-B922-E6DAA214D942}"/>
    <hyperlink ref="H155" r:id="rId90" xr:uid="{7969A6A8-6FD7-4D58-9CE4-AE30A0B54D58}"/>
  </hyperlinks>
  <pageMargins left="0.511811024" right="0.511811024" top="0.78740157499999996" bottom="0.78740157499999996" header="0.31496062000000002" footer="0.31496062000000002"/>
  <pageSetup paperSize="9" orientation="portrait" r:id="rId9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74830387D31448B47CAAE87F3C9D48" ma:contentTypeVersion="8" ma:contentTypeDescription="Create a new document." ma:contentTypeScope="" ma:versionID="394525534272f84cfb955dff92b0395b">
  <xsd:schema xmlns:xsd="http://www.w3.org/2001/XMLSchema" xmlns:xs="http://www.w3.org/2001/XMLSchema" xmlns:p="http://schemas.microsoft.com/office/2006/metadata/properties" xmlns:ns3="b72977e1-856b-424a-9ed5-d7b787d9dceb" xmlns:ns4="d33b131b-7ccf-4db8-8d98-452dcab1dc54" targetNamespace="http://schemas.microsoft.com/office/2006/metadata/properties" ma:root="true" ma:fieldsID="8de8445f20d8ab6ab16e82003a8a72ff" ns3:_="" ns4:_="">
    <xsd:import namespace="b72977e1-856b-424a-9ed5-d7b787d9dceb"/>
    <xsd:import namespace="d33b131b-7ccf-4db8-8d98-452dcab1dc5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2977e1-856b-424a-9ed5-d7b787d9dce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3b131b-7ccf-4db8-8d98-452dcab1dc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33b131b-7ccf-4db8-8d98-452dcab1dc54" xsi:nil="true"/>
  </documentManagement>
</p:properties>
</file>

<file path=customXml/itemProps1.xml><?xml version="1.0" encoding="utf-8"?>
<ds:datastoreItem xmlns:ds="http://schemas.openxmlformats.org/officeDocument/2006/customXml" ds:itemID="{F55D5768-128E-4BF0-A07A-B88B7EA25C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2F4128-990F-495D-A02E-427A019C75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2977e1-856b-424a-9ed5-d7b787d9dceb"/>
    <ds:schemaRef ds:uri="d33b131b-7ccf-4db8-8d98-452dcab1dc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AF6B97E-F695-4BF4-9B3B-D17CF6705ABC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b72977e1-856b-424a-9ed5-d7b787d9dceb"/>
    <ds:schemaRef ds:uri="http://purl.org/dc/elements/1.1/"/>
    <ds:schemaRef ds:uri="http://purl.org/dc/terms/"/>
    <ds:schemaRef ds:uri="http://schemas.openxmlformats.org/package/2006/metadata/core-properties"/>
    <ds:schemaRef ds:uri="d33b131b-7ccf-4db8-8d98-452dcab1dc54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Resumo</vt:lpstr>
      <vt:lpstr>Estimativa de Custos</vt:lpstr>
      <vt:lpstr>Uniformes e Materiais</vt:lpstr>
      <vt:lpstr>Fontes de Pesquisa</vt:lpstr>
    </vt:vector>
  </TitlesOfParts>
  <Company>Ministerio da Infraestrutura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Hugo Martins dos Santos</dc:creator>
  <cp:lastModifiedBy>Stefano Babinski Neto</cp:lastModifiedBy>
  <cp:lastPrinted>2023-06-16T15:05:53Z</cp:lastPrinted>
  <dcterms:created xsi:type="dcterms:W3CDTF">2023-06-01T17:19:53Z</dcterms:created>
  <dcterms:modified xsi:type="dcterms:W3CDTF">2025-10-07T16:51:53Z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0x010100DD74830387D31448B47CAAE87F3C9D48</vt:lpwstr>
  </property>
</Properties>
</file>